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12732" windowHeight="7716" firstSheet="1" activeTab="9"/>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<sst xmlns="http://schemas.openxmlformats.org/spreadsheetml/2006/main" count="3664" uniqueCount="2966">
  <si>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</si>
  <si>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</si>
  <si>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</si>
  <si>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</si>
  <si>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</si>
  <si>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</si>
  <si>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</si>
  <si>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</si>
  <si>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</si>
  <si>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</si>
  <si>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</si>
  <si>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</si>
  <si>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</si>
  <si>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</si>
  <si>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</si>
  <si>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</si>
  <si>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</si>
  <si>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</si>
  <si>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</si>
  <si>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</si>
  <si>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</si>
  <si>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</si>
  <si>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</si>
  <si>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</si>
  <si>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</si>
  <si>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</si>
  <si>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</si>
  <si>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</si>
  <si>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</si>
  <si>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</si>
  <si>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</si>
  <si>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</si>
  <si>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</si>
  <si>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</si>
  <si>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</si>
  <si>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</si>
  <si>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</si>
  <si>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</si>
  <si>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</si>
  <si>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</si>
  <si>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</si>
  <si>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</si>
  <si>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</si>
  <si>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</si>
  <si>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</si>
  <si>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</si>
  <si>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</si>
  <si>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</si>
  <si>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</si>
  <si>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</si>
  <si>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</si>
  <si>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</si>
  <si>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</si>
  <si>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</si>
  <si>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</si>
  <si>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</si>
  <si>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</si>
  <si>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</si>
  <si>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</si>
  <si>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</si>
  <si>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</si>
  <si>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</si>
  <si>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</si>
  <si>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</si>
  <si>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</si>
  <si>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</si>
  <si>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</si>
  <si>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</si>
  <si>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</si>
  <si>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</si>
  <si>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</si>
  <si>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</si>
  <si>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</si>
  <si>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</si>
  <si>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</si>
  <si>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</si>
  <si>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</si>
  <si>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</si>
  <si>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</si>
  <si>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</si>
  <si>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</si>
  <si>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</si>
  <si>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</si>
  <si>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</si>
  <si>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</si>
  <si>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</si>
  <si>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</si>
  <si>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</si>
  <si>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</si>
  <si>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</si>
  <si>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</si>
  <si>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</si>
  <si>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</si>
  <si>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</si>
  <si>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</si>
  <si>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</si>
  <si>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</si>
  <si>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</si>
  <si>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</si>
  <si>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</si>
  <si>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</si>
  <si>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</si>
  <si>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</si>
  <si>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</si>
  <si>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</si>
  <si>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</si>
  <si>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</si>
  <si>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</si>
  <si>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</si>
  <si>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</si>
  <si>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</si>
  <si>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</si>
  <si>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</si>
  <si>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</si>
  <si>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</si>
  <si>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</si>
  <si>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</si>
  <si>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</si>
  <si>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</si>
  <si>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</si>
  <si>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</si>
  <si>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</si>
  <si>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</si>
  <si>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</si>
  <si>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</si>
  <si>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</si>
  <si>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</si>
  <si>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</si>
  <si>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</si>
  <si>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</si>
  <si>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</si>
  <si>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</si>
  <si>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</si>
  <si>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</si>
  <si>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</si>
  <si>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</si>
  <si>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</si>
  <si>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</si>
  <si>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</si>
  <si>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</si>
  <si>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</si>
  <si>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</si>
  <si>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</si>
  <si>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</si>
  <si>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</si>
  <si>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</si>
  <si>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</si>
  <si>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</si>
  <si>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</si>
  <si>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</si>
  <si>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</si>
  <si>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</si>
  <si>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</si>
  <si>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</si>
  <si>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</si>
  <si>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</si>
  <si>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</si>
  <si>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</si>
  <si>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</si>
  <si>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</si>
  <si>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</si>
  <si>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</si>
  <si>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</si>
  <si>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</si>
  <si>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</si>
  <si>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</si>
  <si>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</si>
  <si>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</si>
  <si>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</si>
  <si>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</si>
  <si>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</si>
  <si>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</si>
  <si>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</si>
  <si>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</si>
  <si>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</si>
  <si>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</si>
  <si>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</si>
  <si>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</si>
  <si>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</si>
  <si>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</si>
  <si>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</si>
  <si>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</si>
  <si>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</si>
  <si>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</si>
  <si>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</si>
  <si>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</si>
  <si>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</si>
  <si>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</si>
  <si>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</si>
  <si>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</si>
  <si>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</si>
  <si>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</si>
  <si>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</si>
  <si>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</si>
  <si>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</si>
  <si>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</si>
  <si>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</si>
  <si>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</si>
  <si>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</si>
  <si>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</si>
  <si>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</si>
  <si>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</si>
  <si>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</si>
  <si>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</si>
  <si>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</si>
  <si>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</si>
  <si>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</si>
  <si>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</si>
  <si>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</si>
  <si>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</si>
  <si>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</si>
  <si>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</si>
  <si>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</si>
  <si>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</si>
  <si>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</si>
  <si>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</si>
  <si>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</si>
  <si>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</si>
  <si>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</si>
  <si>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</si>
  <si>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</si>
  <si>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</si>
  <si>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</si>
  <si>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</si>
  <si>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</si>
  <si>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</si>
  <si>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</si>
  <si>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</si>
  <si>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</si>
  <si>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</si>
  <si>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</si>
  <si>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</si>
  <si>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</si>
  <si>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</si>
  <si>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</si>
  <si>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</si>
  <si>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</si>
  <si>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</si>
  <si>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</si>
  <si>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</si>
  <si>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</si>
  <si>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</si>
  <si>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</si>
  <si>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</si>
  <si>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</si>
  <si>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</si>
  <si>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</si>
  <si>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</si>
  <si>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</si>
  <si>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</si>
  <si>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</si>
  <si>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</si>
  <si>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</si>
  <si>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</si>
  <si>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</si>
  <si>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</si>
  <si>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</si>
  <si>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</si>
  <si>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</si>
  <si>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</si>
  <si>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</si>
  <si>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</si>
  <si>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</si>
  <si>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</si>
  <si>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</si>
  <si>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</si>
  <si>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</si>
  <si>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</si>
  <si>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</si>
  <si>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</si>
  <si>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</si>
  <si>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</si>
  <si>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</si>
  <si>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</si>
  <si>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</si>
  <si>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</si>
  <si>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</si>
  <si>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</si>
  <si>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</si>
  <si>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</si>
  <si>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</si>
  <si>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</si>
  <si>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</si>
  <si>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</si>
  <si>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</si>
  <si>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</si>
  <si>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</si>
  <si>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</si>
  <si>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</si>
  <si>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</si>
  <si>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</si>
  <si>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</si>
  <si>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</si>
  <si>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</si>
  <si>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</si>
  <si>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</si>
  <si>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</si>
  <si>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</si>
  <si>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</si>
  <si>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</si>
  <si>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</si>
  <si>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</si>
  <si>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</si>
  <si>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</si>
  <si>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</si>
  <si>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</si>
  <si>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</si>
  <si>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</si>
  <si>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</si>
  <si>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</si>
  <si>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</si>
  <si>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</si>
  <si>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</si>
  <si>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</si>
  <si>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</si>
  <si>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</si>
  <si>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</si>
  <si>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</si>
  <si>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</si>
  <si>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</si>
  <si>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</si>
  <si>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</si>
  <si>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</si>
  <si>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</si>
  <si>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</si>
  <si>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</si>
  <si>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</si>
  <si>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</si>
  <si>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</si>
  <si>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</si>
  <si>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</si>
  <si>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</si>
  <si>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</si>
  <si>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</si>
  <si>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</si>
  <si>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</si>
  <si>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</si>
  <si>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</si>
  <si>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</si>
  <si>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</si>
  <si>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</si>
  <si>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</si>
  <si>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</si>
  <si>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</si>
  <si>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</si>
  <si>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</si>
  <si>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</si>
  <si>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</si>
  <si>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</si>
  <si>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</si>
  <si>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</si>
  <si>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</si>
  <si>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</si>
  <si>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</si>
  <si>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</si>
  <si>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</si>
  <si>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</si>
  <si>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</si>
  <si>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</si>
  <si>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</si>
  <si>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</si>
  <si>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</si>
  <si>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</si>
  <si>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</si>
  <si>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</si>
  <si>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</si>
  <si>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</si>
  <si>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</si>
  <si>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</si>
  <si>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</si>
  <si>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</si>
  <si>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</si>
  <si>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</si>
  <si>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</si>
  <si>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</si>
  <si>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</si>
  <si>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</si>
  <si>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</si>
  <si>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</si>
  <si>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</si>
  <si>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</si>
  <si>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</si>
  <si>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</si>
  <si>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</si>
  <si>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</si>
  <si>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</si>
  <si>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</si>
  <si>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</si>
  <si>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</si>
  <si>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</si>
  <si>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</si>
  <si>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</si>
  <si>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</si>
  <si>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</si>
  <si>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</si>
  <si>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</si>
  <si>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</si>
  <si>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</si>
  <si>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</si>
  <si>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</si>
  <si>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</si>
  <si>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</si>
  <si>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</si>
  <si>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</si>
  <si>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</si>
  <si>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</si>
  <si>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</si>
  <si>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</si>
  <si>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</si>
  <si>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</si>
  <si>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</si>
  <si>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</si>
  <si>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</si>
  <si>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</si>
  <si>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</si>
  <si>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</si>
  <si>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</si>
  <si>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</si>
  <si>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</si>
  <si>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</si>
  <si>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</si>
  <si>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</si>
  <si>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</si>
  <si>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</si>
  <si>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</si>
  <si>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</si>
  <si>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</si>
  <si>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</si>
  <si>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</si>
  <si>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</si>
  <si>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</si>
  <si>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</si>
  <si>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</si>
  <si>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</si>
  <si>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</si>
  <si>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</si>
  <si>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</si>
  <si>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</si>
  <si>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</si>
  <si>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</si>
  <si>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</si>
  <si>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</si>
  <si>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</si>
  <si>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</si>
  <si>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</si>
  <si>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</si>
  <si>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</si>
  <si>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</si>
  <si>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</si>
  <si>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</si>
  <si>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</si>
  <si>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</si>
  <si>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</si>
  <si>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</si>
  <si>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</si>
  <si>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</si>
  <si>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</si>
  <si>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</si>
  <si>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</si>
  <si>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</si>
  <si>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</si>
  <si>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</si>
  <si>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</si>
  <si>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</si>
  <si>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</si>
  <si>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</si>
  <si>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</si>
  <si>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</si>
  <si>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</si>
  <si>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</si>
  <si>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</si>
  <si>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</si>
  <si>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</si>
  <si>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</si>
  <si>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</si>
  <si>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</si>
  <si>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</si>
  <si>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</si>
  <si>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</si>
  <si>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</si>
  <si>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</si>
  <si>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</si>
  <si>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</si>
  <si>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</si>
  <si>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</si>
  <si>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</si>
  <si>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</si>
  <si>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</si>
  <si>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</si>
  <si>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</si>
  <si>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</si>
  <si>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</si>
  <si>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</si>
  <si>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</si>
  <si>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</si>
  <si>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</si>
  <si>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</si>
  <si>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</si>
  <si>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</si>
  <si>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</si>
  <si>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</si>
  <si>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</si>
  <si>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</si>
  <si>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</si>
  <si>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</si>
  <si>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</si>
  <si>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</si>
  <si>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</si>
  <si>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</si>
  <si>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</si>
  <si>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</si>
  <si>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</si>
  <si>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</si>
  <si>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</si>
  <si>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</si>
  <si>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</si>
  <si>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</si>
  <si>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</si>
  <si>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</si>
  <si>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</si>
  <si>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</si>
  <si>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</si>
  <si>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</si>
  <si>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</si>
  <si>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</si>
  <si>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</si>
  <si>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</si>
  <si>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</si>
  <si>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</si>
  <si>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</si>
  <si>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</si>
  <si>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</si>
  <si>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</si>
  <si>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</si>
  <si>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</si>
  <si>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</si>
  <si>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</si>
  <si>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</si>
  <si>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</si>
  <si>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</si>
  <si>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</si>
  <si>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</si>
  <si>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</si>
  <si>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</si>
  <si>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</si>
  <si>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</si>
  <si>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</si>
  <si>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</si>
  <si>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</si>
  <si>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</si>
  <si>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</si>
  <si>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</si>
  <si>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</si>
  <si>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</si>
  <si>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</si>
  <si>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</si>
  <si>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</si>
  <si>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</si>
  <si>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</si>
  <si>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</si>
  <si>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</si>
  <si>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</si>
  <si>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</si>
  <si>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</si>
  <si>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</si>
  <si>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</si>
  <si>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</si>
  <si>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</si>
  <si>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</si>
  <si>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</si>
  <si>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</si>
  <si>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</si>
  <si>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</si>
  <si>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</si>
  <si>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</si>
  <si>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</si>
  <si>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</si>
  <si>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</si>
  <si>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</si>
  <si>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</si>
  <si>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</si>
  <si>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</si>
  <si>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</si>
  <si>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</si>
  <si>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</si>
  <si>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</si>
  <si>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</si>
  <si>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</si>
  <si>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</si>
  <si>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</si>
  <si>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</si>
  <si>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</si>
  <si>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</si>
  <si>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</si>
  <si>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</si>
  <si>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</si>
  <si>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</si>
  <si>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</si>
  <si>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</si>
  <si>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</si>
  <si>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</si>
  <si>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</si>
  <si>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</si>
  <si>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</si>
  <si>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</si>
  <si>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</si>
  <si>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</si>
  <si>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</si>
  <si>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</si>
  <si>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</si>
  <si>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</si>
  <si>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</si>
  <si>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</si>
  <si>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</si>
  <si>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</si>
  <si>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</si>
  <si>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</si>
  <si>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</si>
  <si>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</si>
  <si>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</si>
  <si>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</si>
  <si>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</si>
  <si>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</si>
  <si>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</si>
  <si>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</si>
  <si>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</si>
  <si>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</si>
  <si>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</si>
  <si>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</si>
  <si>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</si>
  <si>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</si>
  <si>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</si>
  <si>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</si>
  <si>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</si>
  <si>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</si>
  <si>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</si>
  <si>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</si>
  <si>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</si>
  <si>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</si>
  <si>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</si>
  <si>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</si>
  <si>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</si>
  <si>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</si>
  <si>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</si>
  <si>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</si>
  <si>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</si>
  <si>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</si>
  <si>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</si>
  <si>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</si>
  <si>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</si>
  <si>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</si>
  <si>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</si>
  <si>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</si>
  <si>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</si>
  <si>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</si>
  <si>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</si>
  <si>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</si>
  <si>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</si>
  <si>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</si>
  <si>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</si>
  <si>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</si>
  <si>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</si>
  <si>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</si>
  <si>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</si>
  <si>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</si>
  <si>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</si>
  <si>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</si>
  <si>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</si>
  <si>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</si>
  <si>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</si>
  <si>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</si>
  <si>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</si>
  <si>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</si>
  <si>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</si>
  <si>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</si>
  <si>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</si>
  <si>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</si>
  <si>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</si>
  <si>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</si>
  <si>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</si>
  <si>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</si>
  <si>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</si>
  <si>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</si>
  <si>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</si>
  <si>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</si>
  <si>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</si>
  <si>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</si>
  <si>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</si>
  <si>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</si>
  <si>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</si>
  <si>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</si>
  <si>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</si>
  <si>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</si>
  <si>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</si>
  <si>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</si>
  <si>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</si>
  <si>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</si>
  <si>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</si>
  <si>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</si>
  <si>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</si>
  <si>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</si>
  <si>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</si>
  <si>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</si>
  <si>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</si>
  <si>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</si>
  <si>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</si>
  <si>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</si>
  <si>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</si>
  <si>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</si>
  <si>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</si>
  <si>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</si>
  <si>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</si>
  <si>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</si>
  <si>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</si>
  <si>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</si>
  <si>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</si>
  <si>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</si>
  <si>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</si>
  <si>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</si>
  <si>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</si>
  <si>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</si>
  <si>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</si>
  <si>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</si>
  <si>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</si>
  <si>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</si>
  <si>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</si>
  <si>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</si>
  <si>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</si>
  <si>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</si>
  <si>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</si>
  <si>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</si>
  <si>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</si>
  <si>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</si>
  <si>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</si>
  <si>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</si>
  <si>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</si>
  <si>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</si>
  <si>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</si>
  <si>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</si>
  <si>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</si>
  <si>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</si>
  <si>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</si>
  <si>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</si>
  <si>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</si>
  <si>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</si>
  <si>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</si>
  <si>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</si>
  <si>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</si>
  <si>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</si>
  <si>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</si>
  <si>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</si>
  <si>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</si>
  <si>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</si>
  <si>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</si>
  <si>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</si>
  <si>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</si>
  <si>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</si>
  <si>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</si>
  <si>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</si>
  <si>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</si>
  <si>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</si>
  <si>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</si>
  <si>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</si>
  <si>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</si>
  <si>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</si>
  <si>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</si>
  <si>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</si>
  <si>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</si>
  <si>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</si>
  <si>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</si>
  <si>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</si>
  <si>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</si>
  <si>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</si>
  <si>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</si>
  <si>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</si>
  <si>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</si>
  <si>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</si>
  <si>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</si>
  <si>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</si>
  <si>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</si>
  <si>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</si>
  <si>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</si>
  <si>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</si>
  <si>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</si>
  <si>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</si>
  <si>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</si>
  <si>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</si>
  <si>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</si>
  <si>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</si>
  <si>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</si>
  <si>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</si>
  <si>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</si>
  <si>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</si>
  <si>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</si>
  <si>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</si>
  <si>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</si>
  <si>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</si>
  <si>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</si>
  <si>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</si>
  <si>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</si>
  <si>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</si>
  <si>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</si>
  <si>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</si>
  <si>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</si>
  <si>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</si>
  <si>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</si>
  <si>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</si>
  <si>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</si>
  <si>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</si>
  <si>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</si>
  <si>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</si>
  <si>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</si>
  <si>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</si>
  <si>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</si>
  <si>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</si>
  <si>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</si>
  <si>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</si>
  <si>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</si>
  <si>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</si>
  <si>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</si>
  <si>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</si>
  <si>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</si>
  <si>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</si>
  <si>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</si>
  <si>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</si>
  <si>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</si>
  <si>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</si>
  <si>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</si>
  <si>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</si>
  <si>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</si>
  <si>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</si>
  <si>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</si>
  <si>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</si>
  <si>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</si>
  <si>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</si>
  <si>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</si>
  <si>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</si>
  <si>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</si>
  <si>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</si>
  <si>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</si>
  <si>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</si>
  <si>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</si>
  <si>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</si>
  <si>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</si>
  <si>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</si>
  <si>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</si>
  <si>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</si>
  <si>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</si>
  <si>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</si>
  <si>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</si>
  <si>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</si>
  <si>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</si>
  <si>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</si>
  <si>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</si>
  <si>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</si>
  <si>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</si>
  <si>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</si>
  <si>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</si>
  <si>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</si>
  <si>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</si>
  <si>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</si>
  <si>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</si>
  <si>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</si>
  <si>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</si>
  <si>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</si>
  <si>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</si>
  <si>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</si>
  <si>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</si>
  <si>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</si>
  <si>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</si>
  <si>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</si>
  <si>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</si>
  <si>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</si>
  <si>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</si>
  <si>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</si>
  <si>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</si>
  <si>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</si>
  <si>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</si>
  <si>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</si>
  <si>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</si>
  <si>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</si>
  <si>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</si>
  <si>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</si>
  <si>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</si>
  <si>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</si>
  <si>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</si>
  <si>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</si>
  <si>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</si>
  <si>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</si>
  <si>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</si>
  <si>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</si>
  <si>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</si>
  <si>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</si>
  <si>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</si>
  <si>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</si>
  <si>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</si>
  <si>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</si>
  <si>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</si>
  <si>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</si>
  <si>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</si>
  <si>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</si>
  <si>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</si>
  <si>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</si>
  <si>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</si>
  <si>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</si>
  <si>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</si>
  <si>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</si>
  <si>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</si>
  <si>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</si>
  <si>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</si>
  <si>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</si>
  <si>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</si>
  <si>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</si>
  <si>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</si>
  <si>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</si>
  <si>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</si>
  <si>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</si>
  <si>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</si>
  <si>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</si>
  <si>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</si>
  <si>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</si>
  <si>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</si>
  <si>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</si>
  <si>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</si>
  <si>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</si>
  <si>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</si>
  <si>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</si>
  <si>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</si>
  <si>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</si>
  <si>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</si>
  <si>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</si>
  <si>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</si>
  <si>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</si>
  <si>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</si>
  <si>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</si>
  <si>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</si>
  <si>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</si>
  <si>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</si>
  <si>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</si>
  <si>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</si>
  <si>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</si>
  <si>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</si>
  <si>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</si>
  <si>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</si>
  <si>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</si>
  <si>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</si>
  <si>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</si>
  <si>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</si>
  <si>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</si>
  <si>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</si>
  <si>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</si>
  <si>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</si>
  <si>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</si>
  <si>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</si>
  <si>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</si>
  <si>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</si>
  <si>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</si>
  <si>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</si>
  <si>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</si>
  <si>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</si>
  <si>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</si>
  <si>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</si>
  <si>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</si>
  <si>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</si>
  <si>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</si>
  <si>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</si>
  <si>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</si>
  <si>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</si>
  <si>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</si>
  <si>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</si>
  <si>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</si>
  <si>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</si>
  <si>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</si>
  <si>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</si>
  <si>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</si>
  <si>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</si>
  <si>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</si>
  <si>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</si>
  <si>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</si>
  <si>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</si>
  <si>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</si>
  <si>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</si>
  <si>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</si>
  <si>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</si>
  <si>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</si>
  <si>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</si>
  <si>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</si>
  <si>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</si>
  <si>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</si>
  <si>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</si>
  <si>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</si>
  <si>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</si>
  <si>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</si>
  <si>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</si>
  <si>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</si>
  <si>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</si>
  <si>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</si>
  <si>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</si>
  <si>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</si>
  <si>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</si>
  <si>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</si>
  <si>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</si>
  <si>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</si>
  <si>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</si>
  <si>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</si>
  <si>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</si>
  <si>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</si>
  <si>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</si>
  <si>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</si>
  <si>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</si>
  <si>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</si>
  <si>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</si>
  <si>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</si>
  <si>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</si>
  <si>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</si>
  <si>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</si>
  <si>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</si>
  <si>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</si>
  <si>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</si>
  <si>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</si>
  <si>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</si>
  <si>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</si>
  <si>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</si>
  <si>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</si>
  <si>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</si>
  <si>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</si>
  <si>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</si>
  <si>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</si>
  <si>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</si>
  <si>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</si>
  <si>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</si>
  <si>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</si>
  <si>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</si>
  <si>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</si>
  <si>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</si>
  <si>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</si>
  <si>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</si>
  <si>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</si>
  <si>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</si>
  <si>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</si>
  <si>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</si>
  <si>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</si>
  <si>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</si>
  <si>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</si>
  <si>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</si>
  <si>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</si>
  <si>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</si>
  <si>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</si>
  <si>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</si>
  <si>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</si>
  <si>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</si>
  <si>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</si>
  <si>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</si>
  <si>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</si>
  <si>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</si>
  <si>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</si>
  <si>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</si>
  <si>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</si>
  <si>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</si>
  <si>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</si>
  <si>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</si>
  <si>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</si>
  <si>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</si>
  <si>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</si>
  <si>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</si>
  <si>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</si>
  <si>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</si>
  <si>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</si>
  <si>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</si>
  <si>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</si>
  <si>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</si>
  <si>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</si>
  <si>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</si>
  <si>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</si>
  <si>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</si>
  <si>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</si>
  <si>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</si>
  <si>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</si>
  <si>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</si>
  <si>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</si>
  <si>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</si>
  <si>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</si>
  <si>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</si>
  <si>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</si>
  <si>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</si>
  <si>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</si>
  <si>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</si>
  <si>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</si>
  <si>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</si>
  <si>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</si>
  <si>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</si>
  <si>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</si>
  <si>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</si>
  <si>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</si>
  <si>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</si>
  <si>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</si>
  <si>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</si>
  <si>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</si>
  <si>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</si>
  <si>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</si>
  <si>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</si>
  <si>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</si>
  <si>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</si>
  <si>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</si>
  <si>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</si>
  <si>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</si>
  <si>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</si>
  <si>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</si>
  <si>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</si>
  <si>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</si>
  <si>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</si>
  <si>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</si>
  <si>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</si>
  <si>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</si>
  <si>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</si>
  <si>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</si>
  <si>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</si>
  <si>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</si>
  <si>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</si>
  <si>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</si>
  <si>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</si>
  <si>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</si>
  <si>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</si>
  <si>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</si>
  <si>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</si>
  <si>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</si>
  <si>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</si>
  <si>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</si>
  <si>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</si>
  <si>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</si>
  <si>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</si>
  <si>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</si>
  <si>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</si>
  <si>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</si>
  <si>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</si>
  <si>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</si>
  <si>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</si>
  <si>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</si>
  <si>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</si>
  <si>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</si>
  <si>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</si>
  <si>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</si>
  <si>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</si>
  <si>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</si>
  <si>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</si>
  <si>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</si>
  <si>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</si>
  <si>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</si>
  <si>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</si>
  <si>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</si>
  <si>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</si>
  <si>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</si>
  <si>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</si>
  <si>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</si>
  <si>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</si>
  <si>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</si>
  <si>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</si>
  <si>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</si>
  <si>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</si>
  <si>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</si>
  <si>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</si>
  <si>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</si>
  <si>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</si>
  <si>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</si>
  <si>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</si>
  <si>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</si>
  <si>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</si>
  <si>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</si>
  <si>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</si>
  <si>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</si>
  <si>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</si>
  <si>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</si>
  <si>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</si>
  <si>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</si>
  <si>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</si>
  <si>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</si>
  <si>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</si>
  <si>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</si>
  <si>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</si>
  <si>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</si>
  <si>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</si>
  <si>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</si>
  <si>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</si>
  <si>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</si>
  <si>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</si>
  <si>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</si>
  <si>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</si>
  <si>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</si>
  <si>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</si>
  <si>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</si>
  <si>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</si>
  <si>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</si>
  <si>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</si>
  <si>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</si>
  <si>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</si>
  <si>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</si>
  <si>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</si>
  <si>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</si>
  <si>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</si>
  <si>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</si>
  <si>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</si>
  <si>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</si>
  <si>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</si>
  <si>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</si>
  <si>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</si>
  <si>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</si>
  <si>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</si>
  <si>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</si>
  <si>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</si>
  <si>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</si>
  <si>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</si>
  <si>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</si>
  <si>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</si>
  <si>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</si>
  <si>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</si>
  <si>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</si>
  <si>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</si>
  <si>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</si>
  <si>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</si>
  <si>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</si>
  <si>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</si>
  <si>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</si>
  <si>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</si>
  <si>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</si>
  <si>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</si>
  <si>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</si>
  <si>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</si>
  <si>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</si>
  <si>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</si>
  <si>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</si>
  <si>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</si>
  <si>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</si>
  <si>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</si>
  <si>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</si>
  <si>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</si>
  <si>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</si>
  <si>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</si>
  <si>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</si>
  <si>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</si>
  <si>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</si>
  <si>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</si>
  <si>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</si>
  <si>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</si>
  <si>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</si>
  <si>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</si>
  <si>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</si>
  <si>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</si>
  <si>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</si>
  <si>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</si>
  <si>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</si>
  <si>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</si>
  <si>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</si>
  <si>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</si>
  <si>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</si>
  <si>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</si>
  <si>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</si>
  <si>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</si>
  <si>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</si>
  <si>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</si>
  <si>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</si>
  <si>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</si>
  <si>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</si>
  <si>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</si>
  <si>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</si>
  <si>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</si>
  <si>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</si>
  <si>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</si>
  <si>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</si>
  <si>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</si>
  <si>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</si>
  <si>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</si>
  <si>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</si>
  <si>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</si>
  <si>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</si>
  <si>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</si>
  <si>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</si>
  <si>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</si>
  <si>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</si>
  <si>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</si>
  <si>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</si>
  <si>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</si>
  <si>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</si>
  <si>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</si>
  <si>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</si>
  <si>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</si>
  <si>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</si>
  <si>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</si>
  <si>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</si>
  <si>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</si>
  <si>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</si>
  <si>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</si>
  <si>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</si>
  <si>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</si>
  <si>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</si>
  <si>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</si>
  <si>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</si>
  <si>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</si>
  <si>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</si>
  <si>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</si>
  <si>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</si>
  <si>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</si>
  <si>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</si>
  <si>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</si>
  <si>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</si>
  <si>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</si>
  <si>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</si>
  <si>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</si>
  <si>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</si>
  <si>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</si>
  <si>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</si>
  <si>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</si>
  <si>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</si>
  <si>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</si>
  <si>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</si>
  <si>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</si>
  <si>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</si>
  <si>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</si>
  <si>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</si>
  <si>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</si>
  <si>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</si>
  <si>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</si>
  <si>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</si>
  <si>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</si>
  <si>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</si>
  <si>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</si>
  <si>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</si>
  <si>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</si>
  <si>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</si>
  <si>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</si>
  <si>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</si>
  <si>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</si>
  <si>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</si>
  <si>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</si>
  <si>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</si>
  <si>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</si>
  <si>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</si>
  <si>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</si>
  <si>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</si>
  <si>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</si>
  <si>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</si>
  <si>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</si>
  <si>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</si>
  <si>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</si>
  <si>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</si>
  <si>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</si>
  <si>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</si>
  <si>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</si>
  <si>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</si>
  <si>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</si>
  <si>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</si>
  <si>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</si>
  <si>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</si>
  <si>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</si>
  <si>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</si>
  <si>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</si>
  <si>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</si>
  <si>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</si>
  <si>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</si>
  <si>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</si>
  <si>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</si>
  <si>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</si>
  <si>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</si>
  <si>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</si>
  <si>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</si>
  <si>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</si>
  <si>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</si>
  <si>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</si>
  <si>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</si>
  <si>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</si>
  <si>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</si>
  <si>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</si>
  <si>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</si>
  <si>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</si>
  <si>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</si>
  <si>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</si>
  <si>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</si>
  <si>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</si>
  <si>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</si>
  <si>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</si>
  <si>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</si>
  <si>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</si>
  <si>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</si>
  <si>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</si>
  <si>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</si>
  <si>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</si>
  <si>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</si>
  <si>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</si>
  <si>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</si>
  <si>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</si>
  <si>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</si>
  <si>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</si>
  <si>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</si>
  <si>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</si>
  <si>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</si>
  <si>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</si>
  <si>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</si>
  <si>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</si>
  <si>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</si>
  <si>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</si>
  <si>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</si>
  <si>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</si>
  <si>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</si>
  <si>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</si>
  <si>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</si>
  <si>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</si>
  <si>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</si>
  <si>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</si>
  <si>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</si>
  <si>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</si>
  <si>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</si>
  <si>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</si>
  <si>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</si>
  <si>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</si>
  <si>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</si>
  <si>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</si>
  <si>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</si>
  <si>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</si>
  <si>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</si>
  <si>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</si>
  <si>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</si>
  <si>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</si>
  <si>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</si>
  <si>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</si>
  <si>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</si>
  <si>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</si>
  <si>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</si>
  <si>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</si>
  <si>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</si>
  <si>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</si>
  <si>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</si>
  <si>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</si>
  <si>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</si>
  <si>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</si>
  <si>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</si>
  <si>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</si>
  <si>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</si>
  <si>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</si>
  <si>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</si>
  <si>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</si>
  <si>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</si>
  <si>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</si>
  <si>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</si>
  <si>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</si>
  <si>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</si>
  <si>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</si>
  <si>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</si>
  <si>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</si>
  <si>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</si>
  <si>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</si>
  <si>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</si>
  <si>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</si>
  <si>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</si>
  <si>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</si>
  <si>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</si>
  <si>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</si>
  <si>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</si>
  <si>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</si>
  <si>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</si>
  <si>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</si>
  <si>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</si>
  <si>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</si>
  <si>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</si>
  <si>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</si>
  <si>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</si>
  <si>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</si>
  <si>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</si>
  <si>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</si>
  <si>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</si>
  <si>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</si>
  <si>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</si>
  <si>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</si>
  <si>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</si>
  <si>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</si>
  <si>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</si>
  <si>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</si>
  <si>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</si>
  <si>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</si>
  <si>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</si>
  <si>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</si>
  <si>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</si>
  <si>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</si>
  <si>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</si>
  <si>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</si>
  <si>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</si>
  <si>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</si>
  <si>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</si>
  <si>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</si>
  <si>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</si>
  <si>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</si>
  <si>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</si>
  <si>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</si>
  <si>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</si>
  <si>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</si>
  <si>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</si>
  <si>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</si>
  <si>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</si>
  <si>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</si>
  <si>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</si>
  <si>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</si>
  <si>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</si>
  <si>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</si>
  <si>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</si>
  <si>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</si>
  <si>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</si>
  <si>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</si>
  <si>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</si>
  <si>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</si>
  <si>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</si>
  <si>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</si>
  <si>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</si>
  <si>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</si>
  <si>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</si>
  <si>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</si>
  <si>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</si>
  <si>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</si>
  <si>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</si>
  <si>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</si>
  <si>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</si>
  <si>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</si>
  <si>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</si>
  <si>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</si>
  <si>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</si>
  <si>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</si>
  <si>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</si>
  <si>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</si>
  <si>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</si>
  <si>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</si>
  <si>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</si>
  <si>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</si>
  <si>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</si>
  <si>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</si>
  <si>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</si>
  <si>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</si>
  <si>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</si>
  <si>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</si>
  <si>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</si>
  <si>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</si>
  <si>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</si>
  <si>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</si>
  <si>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</si>
  <si>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</si>
  <si>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</si>
  <si>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</si>
  <si>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</si>
  <si>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</si>
  <si>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</si>
  <si>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</si>
  <si>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</si>
  <si>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</si>
  <si>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</si>
  <si>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</si>
  <si>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</si>
  <si>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</si>
  <si>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</si>
  <si>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</si>
  <si>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</si>
  <si>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</si>
  <si>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</si>
  <si>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</si>
  <si>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</si>
  <si>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</si>
  <si>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</si>
  <si>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</si>
  <si>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</si>
  <si>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</si>
  <si>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</si>
  <si>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</si>
  <si>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</si>
  <si>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</si>
  <si>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</si>
  <si>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</si>
  <si>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</si>
  <si>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</si>
  <si>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</si>
  <si>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</si>
  <si>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</si>
  <si>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</si>
  <si>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</si>
  <si>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</si>
  <si>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</si>
  <si>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</si>
  <si>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</si>
  <si>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</si>
  <si>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</si>
  <si>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</si>
  <si>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</si>
  <si>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</si>
  <si>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</si>
  <si>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</si>
  <si>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</si>
  <si>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</si>
  <si>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</si>
  <si>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</si>
  <si>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</si>
  <si>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</si>
  <si>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</si>
  <si>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</si>
  <si>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</si>
  <si>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</si>
  <si>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</si>
  <si>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</si>
  <si>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</si>
  <si>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</si>
  <si>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</si>
  <si>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</si>
  <si>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</si>
  <si>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</si>
  <si>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</si>
  <si>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</si>
  <si>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</si>
  <si>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</si>
  <si>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</si>
  <si>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</si>
  <si>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</si>
  <si>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</si>
  <si>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</si>
  <si>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</si>
  <si>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</si>
  <si>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</si>
  <si>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</si>
  <si>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</si>
  <si>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</si>
  <si>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</si>
  <si>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</si>
  <si>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</si>
  <si>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</si>
  <si>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</si>
  <si>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</si>
  <si>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</si>
  <si>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</si>
  <si>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</si>
  <si>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</si>
  <si>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</si>
  <si>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</si>
  <si>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</si>
  <si>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</si>
  <si>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</si>
  <si>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</si>
  <si>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</si>
  <si>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</si>
  <si>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</si>
  <si>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</si>
  <si>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</si>
  <si>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</si>
  <si>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</si>
  <si>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</si>
  <si>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</si>
  <si>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</si>
  <si>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</si>
  <si>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</si>
  <si>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</si>
  <si>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</si>
  <si>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</si>
  <si>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</si>
  <si>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</si>
  <si>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</si>
  <si>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</si>
  <si>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</si>
  <si>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</si>
  <si>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</si>
  <si>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</si>
  <si>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</si>
  <si>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</si>
  <si>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</si>
  <si>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</si>
  <si>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</si>
  <si>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</si>
  <si>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</si>
  <si>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</si>
  <si>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</si>
  <si>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</si>
  <si>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</si>
  <si>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</si>
  <si>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</si>
  <si>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</si>
  <si>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</si>
  <si>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</si>
  <si>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</si>
  <si>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</si>
  <si>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</si>
  <si>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</si>
  <si>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</si>
  <si>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</si>
  <si>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</si>
  <si>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</si>
  <si>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</si>
  <si>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</si>
  <si>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</si>
  <si>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</si>
  <si>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</si>
  <si>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</si>
  <si>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</si>
  <si>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</si>
  <si>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</si>
  <si>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</si>
  <si>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</si>
  <si>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</si>
  <si>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</si>
  <si>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</si>
  <si>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</si>
  <si>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</si>
  <si>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</si>
  <si>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</si>
  <si>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</si>
  <si>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</si>
  <si>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</si>
  <si>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</si>
  <si>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</si>
  <si>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</si>
  <si>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</si>
  <si>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</si>
  <si>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</si>
  <si>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</si>
  <si>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</si>
  <si>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</si>
  <si>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</si>
  <si>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</si>
  <si>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</si>
  <si>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</si>
  <si>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</si>
  <si>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</si>
  <si>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</si>
  <si>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</si>
  <si>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</si>
  <si>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</si>
  <si>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</si>
  <si>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</si>
  <si>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</si>
  <si>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</si>
  <si>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</si>
  <si>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</si>
  <si>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</si>
  <si>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</si>
  <si>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</si>
  <si>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</si>
  <si>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</si>
  <si>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</si>
  <si>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</si>
  <si>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</si>
  <si>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</si>
  <si>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</si>
  <si>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</si>
  <si>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</si>
  <si>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</si>
  <si>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</si>
  <si>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</si>
  <si>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</si>
  <si>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</si>
  <si>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</si>
  <si>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</si>
  <si>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</si>
  <si>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</si>
  <si>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</si>
  <si>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</si>
  <si>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</si>
  <si>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</si>
  <si>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</si>
  <si>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</si>
  <si>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</si>
  <si>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</si>
  <si>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</si>
  <si>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</si>
  <si>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</si>
  <si>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</si>
  <si>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</si>
  <si>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</si>
  <si>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</si>
  <si>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</si>
  <si>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</si>
  <si>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</si>
  <si>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</si>
  <si>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</si>
  <si>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</si>
  <si>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</si>
  <si>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</si>
  <si>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</si>
  <si>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</si>
  <si>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</si>
  <si>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</si>
  <si>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</si>
  <si>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</si>
  <si>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</si>
  <si>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</si>
  <si>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</si>
  <si>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</si>
  <si>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</si>
  <si>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</si>
  <si>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</si>
  <si>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</si>
  <si>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</si>
  <si>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</si>
  <si>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</si>
  <si>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</si>
  <si>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</si>
  <si>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</si>
  <si>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</si>
  <si>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</si>
  <si>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</si>
  <si>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</si>
  <si>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</si>
  <si>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</si>
  <si>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</si>
  <si>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</si>
  <si>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</si>
  <si>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</si>
  <si>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</si>
  <si>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</si>
  <si>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</si>
  <si>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</si>
  <si>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</si>
  <si>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</si>
  <si>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</si>
  <si>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</si>
  <si>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</si>
  <si>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</si>
  <si>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</si>
  <si>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</si>
  <si>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</si>
  <si>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</si>
  <si>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</si>
  <si>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</si>
  <si>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</si>
  <si>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</si>
  <si>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</si>
  <si>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</si>
  <si>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</si>
  <si>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</si>
  <si>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</si>
  <si>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</si>
  <si>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</si>
  <si>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</si>
  <si>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</si>
  <si>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</si>
  <si>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</si>
  <si>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</si>
  <si>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</si>
  <si>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</si>
  <si>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</si>
  <si>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</si>
  <si>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</si>
  <si>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</si>
  <si>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</si>
  <si>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</si>
  <si>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</si>
  <si>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</si>
  <si>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</si>
  <si>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</si>
  <si>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</si>
  <si>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</si>
  <si>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</si>
  <si>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</si>
  <si>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</si>
  <si>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</si>
  <si>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</si>
  <si>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</si>
  <si>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</si>
  <si>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</si>
  <si>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</si>
  <si>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</si>
  <si>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</si>
  <si>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</si>
  <si>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</si>
  <si>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</si>
  <si>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</si>
  <si>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</si>
  <si>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</si>
  <si>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</si>
  <si>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</si>
  <si>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</si>
  <si>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</si>
  <si>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</si>
  <si>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</si>
  <si>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</si>
  <si>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</si>
  <si>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</si>
  <si>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</si>
  <si>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</si>
  <si>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</si>
  <si>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</si>
  <si>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</si>
  <si>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</si>
  <si>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</si>
  <si>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</si>
  <si>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</si>
  <si>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</si>
  <si>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</si>
  <si>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</si>
  <si>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</si>
  <si>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</si>
  <si>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</si>
  <si>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</si>
  <si>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</si>
  <si>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</si>
  <si>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</si>
  <si>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</si>
  <si>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</si>
  <si>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</si>
  <si>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</si>
  <si>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</si>
  <si>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</si>
  <si>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</si>
  <si>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</si>
  <si>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</si>
  <si>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</si>
  <si>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</si>
  <si>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</si>
  <si>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</si>
  <si>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</si>
  <si>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</si>
  <si>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</si>
  <si>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</si>
  <si>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</si>
  <si>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</si>
  <si>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</si>
  <si>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</si>
  <si>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</si>
  <si>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</si>
  <si>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</si>
  <si>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</si>
  <si>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</si>
  <si>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</si>
  <si>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</si>
  <si>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</si>
  <si>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</si>
  <si>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</si>
  <si>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</si>
  <si>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</si>
  <si>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</si>
  <si>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</si>
  <si>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</si>
  <si>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</si>
  <si>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</si>
  <si>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</si>
  <si>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</si>
  <si>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</si>
  <si>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</si>
  <si>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</si>
  <si>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</si>
  <si>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</si>
  <si>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</si>
  <si>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</si>
  <si>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</si>
  <si>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</si>
  <si>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</si>
  <si>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</si>
  <si>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</si>
  <si>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</si>
  <si>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</si>
  <si>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</si>
  <si>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</si>
  <si>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</si>
  <si>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</si>
  <si>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</si>
  <si>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</si>
  <si>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</si>
  <si>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</si>
  <si>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</si>
  <si>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</si>
  <si>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</si>
  <si>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</si>
  <si>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</si>
  <si>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</si>
  <si>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</si>
  <si>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</si>
  <si>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</si>
  <si>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</si>
  <si>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</si>
  <si>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</si>
  <si>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</si>
  <si>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</si>
  <si>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</si>
  <si>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</si>
  <si>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</si>
  <si>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</si>
  <si>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</si>
  <si>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</si>
  <si>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</si>
  <si>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</si>
  <si>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</si>
  <si>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</si>
  <si>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</si>
  <si>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</si>
  <si>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</si>
  <si>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</si>
  <si>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</si>
  <si>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</si>
  <si>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</si>
  <si>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</si>
  <si>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</si>
  <si>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</si>
  <si>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</si>
  <si>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</si>
  <si>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</si>
  <si>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</si>
  <si>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</si>
  <si>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</si>
  <si>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</si>
  <si>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</si>
  <si>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</si>
  <si>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</si>
  <si>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</si>
  <si>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</si>
  <si>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</si>
  <si>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</si>
  <si>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</si>
  <si>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</si>
  <si>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</si>
  <si>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</si>
  <si>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</si>
  <si>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</si>
  <si>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</si>
  <si>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</si>
  <si>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</si>
  <si>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</si>
  <si>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</si>
  <si>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</si>
  <si>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</si>
  <si>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</si>
  <si>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</si>
  <si>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</si>
  <si>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</si>
  <si>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</si>
  <si>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</si>
  <si>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</si>
  <si>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</si>
  <si>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</si>
  <si>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</si>
  <si>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</si>
  <si>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</si>
  <si>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</si>
  <si>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</si>
  <si>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</si>
  <si>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</si>
  <si>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</si>
  <si>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</si>
  <si>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</si>
  <si>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</si>
  <si>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</si>
  <si>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</si>
  <si>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</si>
  <si>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</si>
  <si>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</si>
  <si>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</si>
  <si>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</si>
  <si>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</si>
  <si>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</si>
  <si>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</si>
  <si>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</si>
  <si>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</si>
  <si>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</si>
  <si>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</si>
  <si>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</si>
  <si>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</si>
  <si>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</si>
  <si>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</si>
  <si>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</si>
  <si>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</si>
  <si>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</si>
  <si>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</si>
  <si>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</si>
  <si>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</si>
  <si>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</si>
  <si>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</si>
  <si>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</si>
  <si>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</si>
  <si>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</si>
  <si>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</si>
  <si>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</si>
  <si>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</si>
  <si>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</si>
  <si>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</si>
  <si>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</si>
  <si>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</si>
  <si>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</si>
  <si>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</si>
  <si>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</si>
  <si>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</si>
  <si>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</si>
  <si>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</si>
  <si>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</si>
  <si>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</si>
  <si>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</si>
  <si>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</si>
  <si>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</si>
  <si>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</si>
  <si>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</si>
  <si>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</si>
  <si>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</si>
  <si>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</si>
  <si>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</si>
  <si>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</si>
  <si>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</si>
  <si>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</si>
  <si>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</si>
  <si>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</si>
  <si>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</si>
  <si>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</si>
  <si>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</si>
  <si>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</si>
  <si>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</si>
  <si>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</si>
  <si>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</si>
  <si>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</si>
  <si>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</si>
  <si>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</si>
  <si>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</si>
  <si>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</si>
  <si>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</si>
  <si>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</si>
  <si>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</si>
  <si>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</si>
  <si>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</si>
  <si>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</si>
  <si>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</si>
  <si>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</si>
  <si>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</si>
  <si>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</si>
  <si>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</si>
  <si>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</si>
  <si>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</si>
  <si>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</si>
  <si>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</si>
  <si>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</si>
  <si>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</si>
  <si>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</si>
  <si>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</si>
  <si>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</si>
  <si>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</si>
  <si>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</si>
  <si>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</si>
  <si>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</si>
  <si>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</si>
  <si>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</si>
  <si>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</si>
  <si>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</si>
  <si>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</si>
  <si>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</si>
  <si>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</si>
  <si>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</si>
  <si>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</si>
  <si>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</si>
  <si>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</si>
  <si>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</si>
  <si>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</si>
  <si>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</si>
  <si>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</si>
  <si>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</si>
  <si>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</si>
  <si>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</si>
  <si>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</si>
  <si>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</si>
  <si>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</si>
  <si>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</si>
  <si>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</si>
  <si>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</si>
  <si>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</si>
  <si>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</si>
  <si>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</si>
  <si>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</si>
  <si>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</si>
  <si>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</si>
  <si>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</si>
  <si>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</si>
  <si>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</si>
  <si>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</si>
  <si>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</si>
  <si>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</si>
  <si>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</si>
  <si>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</si>
  <si>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</si>
  <si>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</si>
  <si>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</si>
  <si>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</si>
  <si>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</si>
  <si>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</si>
  <si>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</si>
  <si>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</si>
  <si>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</si>
  <si>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</si>
  <si>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</si>
  <si>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</si>
  <si>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</si>
  <si>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</si>
  <si>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</si>
  <si>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</si>
  <si>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</si>
  <si>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</si>
  <si>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</si>
  <si>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</si>
  <si>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</si>
  <si>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</si>
  <si>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</si>
  <si>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</si>
  <si>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</si>
  <si>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</si>
  <si>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</si>
  <si>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</si>
  <si>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</si>
  <si>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</si>
  <si>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</si>
  <si>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</si>
  <si>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</si>
  <si>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</si>
  <si>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</si>
  <si>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</si>
  <si>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</si>
  <si>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</si>
  <si>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</si>
  <si>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</si>
  <si>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</si>
  <si>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</si>
  <si>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</si>
  <si>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</si>
  <si>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</si>
  <si>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</si>
  <si>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</si>
  <si>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</si>
  <si>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</si>
  <si>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</si>
  <si>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</si>
  <si>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</si>
  <si>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</si>
  <si>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</si>
  <si>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</si>
  <si>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</si>
  <si>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</si>
  <si>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</si>
  <si>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</si>
  <si>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</si>
  <si>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</si>
  <si>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</si>
  <si>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</si>
  <si>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</si>
  <si>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</si>
  <si>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</si>
  <si>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</si>
  <si>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</si>
  <si>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</si>
  <si>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</si>
  <si>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</si>
  <si>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</si>
  <si>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</si>
  <si>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</si>
  <si>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</si>
  <si>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</si>
  <si>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</si>
  <si>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</si>
  <si>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</si>
  <si>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</si>
  <si>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</si>
  <si>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</si>
  <si>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</si>
  <si>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</si>
  <si>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</si>
  <si>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</si>
  <si>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</si>
  <si>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</si>
  <si>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</si>
  <si>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</si>
  <si>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</si>
  <si>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</si>
  <si>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</si>
  <si>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</si>
  <si>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</si>
  <si>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</si>
  <si>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</si>
  <si>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</si>
  <si>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</si>
  <si>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</si>
  <si>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</si>
  <si>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</si>
  <si>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</si>
  <si>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</si>
  <si>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</si>
  <si>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</si>
  <si>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</si>
  <si>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</si>
  <si>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</si>
  <si>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</si>
  <si>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</si>
  <si>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</si>
  <si>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</si>
  <si>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</si>
  <si>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</si>
  <si>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</si>
  <si>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</si>
  <si>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</si>
  <si>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</si>
  <si>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</si>
  <si>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</si>
  <si>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</si>
  <si>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</si>
  <si>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</si>
  <si>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</si>
  <si>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</si>
  <si>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</si>
  <si>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</si>
  <si>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</si>
  <si>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</si>
  <si>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</si>
  <si>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</si>
  <si>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</si>
  <si>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</si>
  <si>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</si>
  <si>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</si>
  <si>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</si>
  <si>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</si>
  <si>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</si>
  <si>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</si>
  <si>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</si>
  <si>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</si>
  <si>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</si>
  <si>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</si>
  <si>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</si>
  <si>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</si>
  <si>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</si>
  <si>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</si>
  <si>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</si>
  <si>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</si>
  <si>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</si>
  <si>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</si>
  <si>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</si>
  <si>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</si>
  <si>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</si>
  <si>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</si>
  <si>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</si>
  <si>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</si>
  <si>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</si>
  <si>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</si>
  <si>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</si>
  <si>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</si>
  <si>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</si>
  <si>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</si>
  <si>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</si>
  <si>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</si>
  <si>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</si>
  <si>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</si>
  <si>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</si>
  <si>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</si>
  <si>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</si>
  <si>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</si>
  <si>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</si>
  <si>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</si>
  <si>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</si>
  <si>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</si>
  <si>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</si>
  <si>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</si>
  <si>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</si>
  <si>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</si>
  <si>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</si>
  <si>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</si>
  <si>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</si>
  <si>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</si>
  <si>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</si>
  <si>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</si>
  <si>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</si>
  <si>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</si>
  <si>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</si>
  <si>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</si>
  <si>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</si>
  <si>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</si>
  <si>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</si>
  <si>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</si>
  <si>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</si>
  <si>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</si>
  <si>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</si>
  <si>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</si>
  <si>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</si>
  <si>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</si>
  <si>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</si>
  <si>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</si>
  <si>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</si>
  <si>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</si>
  <si>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</si>
  <si>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</si>
  <si>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</si>
  <si>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</si>
  <si>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</si>
  <si>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</si>
  <si>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</si>
  <si>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</si>
  <si>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</si>
  <si>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</si>
  <si>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</si>
  <si>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</si>
  <si>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</si>
  <si>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</si>
  <si>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</si>
  <si>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</si>
  <si>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</si>
  <si>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</si>
  <si>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</si>
  <si>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</si>
  <si>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</si>
  <si>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</si>
  <si>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</si>
  <si>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</si>
  <si>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</si>
  <si>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</si>
  <si>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</si>
  <si>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</si>
  <si>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</si>
  <si>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</si>
  <si>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</si>
  <si>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</si>
  <si>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</si>
  <si>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</si>
  <si>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</si>
  <si>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</si>
  <si>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</si>
  <si>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</si>
  <si>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</si>
  <si>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</si>
  <si>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</si>
  <si>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</si>
  <si>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</si>
  <si>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</si>
  <si>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</si>
  <si>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</si>
  <si>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</si>
  <si>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</si>
  <si>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</si>
  <si>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</si>
  <si>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</si>
  <si>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</si>
  <si>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</si>
  <si>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</si>
  <si>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</si>
  <si>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</si>
  <si>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</si>
  <si>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</si>
  <si>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</si>
  <si>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</si>
  <si>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</si>
  <si>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</si>
  <si>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</si>
  <si>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</si>
  <si>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</si>
  <si>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</si>
  <si>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</si>
  <si>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</si>
  <si>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</si>
  <si>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</si>
  <si>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</si>
  <si>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</si>
  <si>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</si>
  <si>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</si>
  <si>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</si>
  <si>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</si>
  <si>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</si>
  <si>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</si>
  <si>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</si>
  <si>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</si>
  <si>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</si>
  <si>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</si>
  <si>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</si>
  <si>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</si>
  <si>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</si>
  <si>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</si>
  <si>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</si>
  <si>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</si>
  <si>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</si>
  <si>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</si>
  <si>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</si>
  <si>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</si>
  <si>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</si>
  <si>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</si>
  <si>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</si>
  <si>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</si>
  <si>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</si>
  <si>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</si>
  <si>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</si>
  <si>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</si>
  <si>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</si>
  <si>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</si>
  <si>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</si>
  <si>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</si>
  <si>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</si>
  <si>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</si>
  <si>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</si>
  <si>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</si>
  <si>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</si>
  <si>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</si>
  <si>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</si>
  <si>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</si>
  <si>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</si>
  <si>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</si>
  <si>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</si>
  <si>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</si>
  <si>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</si>
  <si>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</si>
  <si>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</si>
  <si>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</si>
  <si>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</si>
  <si>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</si>
  <si>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</si>
  <si>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</si>
  <si>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</si>
  <si>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</si>
  <si>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</si>
  <si>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</si>
  <si>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</si>
  <si>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</si>
  <si>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</si>
  <si>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</si>
  <si>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</si>
  <si>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</si>
  <si>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</si>
  <si>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</si>
  <si>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</si>
  <si>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</si>
  <si>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</si>
  <si>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</si>
  <si>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</si>
  <si>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</si>
  <si>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</si>
  <si>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</si>
  <si>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</si>
  <si>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</si>
  <si>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</si>
  <si>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</si>
  <si>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</si>
  <si>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</si>
  <si>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</si>
  <si>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</si>
  <si>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</si>
  <si>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</si>
  <si>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</si>
  <si>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</si>
  <si>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</si>
  <si>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</si>
  <si>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</si>
  <si>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</si>
  <si>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</si>
  <si>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</si>
  <si>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</si>
  <si>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</si>
  <si>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</si>
  <si>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</si>
  <si>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</si>
  <si>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</si>
  <si>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</si>
  <si>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</si>
  <si>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</si>
  <si>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</si>
  <si>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</si>
  <si>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</si>
  <si>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</si>
  <si>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</si>
  <si>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</si>
  <si>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</si>
  <si>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</si>
  <si>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</si>
  <si>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</si>
  <si>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</si>
  <si>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</si>
  <si>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</si>
  <si>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</si>
  <si>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</si>
  <si>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</si>
  <si>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</si>
  <si>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</si>
  <si>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</si>
  <si>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</si>
  <si>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</si>
  <si>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</si>
  <si>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</si>
  <si>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</si>
  <si>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</si>
  <si>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</si>
  <si>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</si>
  <si>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</si>
  <si>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</si>
  <si>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</si>
  <si>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</si>
  <si>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</si>
  <si>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</si>
  <si>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</si>
  <si>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</si>
  <si>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</si>
  <si>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</si>
  <si>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</si>
  <si>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</si>
  <si>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</si>
  <si>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</si>
  <si>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</si>
  <si>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</si>
  <si>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</si>
  <si>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</si>
  <si>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</si>
  <si>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</si>
  <si>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</si>
  <si>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</si>
  <si>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</si>
  <si>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</si>
  <si>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</si>
  <si>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</si>
  <si>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</si>
  <si>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</si>
  <si>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</si>
  <si>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</si>
  <si>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</si>
  <si>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</si>
  <si>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</si>
  <si>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</si>
  <si>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</si>
  <si>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</si>
  <si>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</si>
  <si>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</si>
  <si>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</si>
  <si>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</si>
  <si>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</si>
  <si>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</si>
  <si>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</si>
  <si>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</si>
  <si>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</si>
  <si>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</si>
  <si>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</si>
  <si>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</si>
  <si>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</si>
  <si>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</si>
  <si>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</si>
  <si>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</si>
  <si>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</si>
  <si>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</si>
  <si>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</si>
  <si>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</si>
  <si>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</si>
  <si>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</si>
  <si>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</si>
  <si>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</si>
  <si>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</si>
  <si>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</si>
  <si>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</si>
  <si>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</si>
  <si>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</si>
  <si>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</si>
  <si>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</si>
  <si>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</si>
  <si>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</si>
  <si>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</si>
  <si>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</si>
  <si>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</si>
  <si>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</si>
  <si>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</si>
  <si>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</si>
  <si>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</si>
  <si>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</si>
  <si>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</si>
  <si>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</si>
  <si>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</si>
  <si>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</si>
  <si>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</si>
  <si>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</si>
  <si>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</si>
  <si>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</si>
  <si>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</si>
  <si>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</si>
  <si>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</si>
  <si>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</si>
  <si>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</si>
  <si>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</si>
  <si>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</si>
  <si>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</si>
  <si>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</si>
  <si>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</si>
  <si>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</si>
  <si>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</si>
  <si>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</si>
  <si>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</si>
  <si>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</si>
  <si>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</si>
  <si>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</si>
  <si>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</si>
  <si>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</si>
  <si>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</si>
  <si>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</si>
  <si>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</si>
  <si>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</si>
  <si>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</si>
  <si>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</si>
  <si>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</si>
  <si>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</si>
  <si>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</si>
  <si>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</si>
  <si>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</si>
  <si>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</si>
  <si>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</si>
  <si>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</si>
  <si>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</si>
  <si>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</si>
  <si>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</si>
  <si>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</si>
  <si>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</si>
  <si>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</si>
  <si>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</si>
  <si>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</si>
  <si>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</si>
  <si>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</si>
  <si>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</si>
  <si>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</si>
  <si>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</si>
  <si>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</si>
  <si>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</si>
  <si>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</si>
  <si>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</si>
  <si>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</si>
  <si>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</si>
  <si>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</si>
  <si>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</si>
  <si>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</si>
  <si>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</si>
  <si>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</si>
  <si>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</si>
  <si>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</si>
  <si>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</si>
  <si>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</si>
  <si>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</si>
  <si>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</si>
  <si>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</si>
  <si>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</si>
  <si>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</si>
  <si>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</si>
  <si>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</si>
  <si>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</si>
  <si>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</si>
  <si>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</si>
  <si>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</si>
  <si>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</si>
  <si>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</si>
  <si>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</si>
  <si>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</si>
  <si>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</si>
  <si>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</si>
  <si>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</si>
  <si>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</si>
  <si>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</si>
  <si>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</si>
  <si>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</si>
  <si>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</si>
  <si>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</si>
  <si>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</si>
  <si>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</si>
  <si>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</si>
  <si>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</si>
  <si>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</si>
  <si>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</si>
  <si>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</si>
  <si>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</si>
  <si>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</si>
  <si>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</si>
  <si>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</si>
  <si>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</si>
  <si>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</si>
  <si>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</si>
  <si>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</si>
  <si>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</si>
  <si>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</si>
  <si>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</si>
  <si>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</si>
  <si>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</si>
  <si>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</si>
  <si>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</si>
  <si>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</si>
  <si>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</si>
  <si>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</si>
  <si>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</si>
  <si>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</si>
  <si>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</si>
  <si>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</si>
  <si>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</si>
  <si>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</si>
  <si>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</si>
  <si>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</si>
  <si>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</si>
  <si>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</si>
  <si>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</si>
  <si>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</si>
  <si>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</si>
  <si>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</si>
  <si>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</si>
  <si>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</si>
  <si>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</si>
  <si>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</si>
  <si>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</si>
  <si>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</si>
  <si>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</si>
  <si>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</si>
  <si>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</si>
  <si>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</si>
  <si>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</si>
  <si>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</si>
  <si>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</si>
  <si>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</si>
  <si>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</si>
  <si>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</si>
  <si>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</si>
  <si>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</si>
  <si>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</si>
  <si>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</si>
  <si>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</si>
  <si>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</si>
  <si>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</si>
  <si>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</si>
  <si>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</si>
  <si>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</si>
  <si>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</si>
  <si>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</si>
  <si>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</si>
  <si>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</si>
  <si>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</si>
  <si>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</si>
  <si>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</si>
  <si>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</si>
  <si>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</si>
  <si>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</si>
  <si>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</si>
  <si>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</si>
  <si>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</si>
  <si>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</si>
  <si>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</si>
  <si>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</si>
  <si>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</si>
  <si>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</si>
  <si>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</si>
  <si>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</si>
  <si>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</si>
  <si>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</si>
  <si>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</si>
  <si>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</si>
  <si>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</si>
  <si>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</si>
  <si>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</si>
  <si>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</si>
  <si>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</si>
  <si>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</si>
  <si>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</si>
  <si>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</si>
  <si>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</si>
  <si>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</si>
  <si>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</si>
  <si>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</si>
  <si>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</si>
  <si>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</si>
  <si>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</si>
  <si>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</si>
  <si>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</si>
  <si>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</si>
  <si>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</si>
  <si>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</si>
  <si>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</si>
  <si>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</si>
  <si>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</si>
  <si>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</si>
  <si>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</si>
  <si>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</si>
  <si>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</si>
  <si>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</si>
  <si>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</si>
  <si>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</si>
  <si>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</si>
  <si>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</si>
  <si>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</si>
  <si>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</si>
  <si>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</si>
  <si>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</si>
  <si>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</si>
  <si>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</si>
  <si>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</si>
  <si>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</si>
  <si>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</si>
  <si>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</si>
  <si>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</si>
  <si>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</si>
  <si>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</si>
  <si>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</si>
  <si>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</si>
  <si>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</si>
  <si>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</si>
  <si>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</si>
  <si>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</si>
  <si>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</si>
  <si>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</si>
  <si>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</si>
  <si>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</si>
  <si>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</si>
  <si>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</si>
  <si>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</si>
  <si>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</si>
  <si>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</si>
  <si>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</si>
  <si>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</si>
  <si>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</si>
  <si>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</si>
  <si>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</si>
  <si>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</si>
  <si>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</si>
  <si>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</si>
  <si>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</si>
  <si>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</si>
  <si>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</si>
  <si>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</si>
  <si>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</si>
  <si>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</si>
  <si>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</si>
  <si>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</si>
  <si>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</si>
  <si>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</si>
  <si>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</si>
  <si>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</si>
  <si>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</si>
  <si>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</si>
  <si>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</si>
  <si>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</si>
  <si>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</si>
  <si>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</si>
  <si>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</si>
  <si>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</si>
  <si>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</si>
  <si>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</si>
  <si>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</si>
  <si>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</si>
  <si>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</si>
  <si>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</si>
  <si>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</si>
  <si>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</si>
  <si>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</si>
  <si>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</si>
  <si>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</si>
  <si>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</si>
  <si>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</si>
  <si>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</si>
  <si>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</si>
  <si>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</si>
  <si>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</si>
  <si>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</si>
  <si>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</si>
  <si>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</si>
  <si>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</si>
  <si>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</si>
  <si>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</si>
  <si>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</si>
  <si>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</si>
  <si>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</si>
  <si>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</si>
  <si>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</si>
  <si>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</si>
  <si>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</si>
  <si>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</si>
  <si>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</si>
  <si>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</si>
  <si>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</si>
  <si>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76394522236</t>
  </si>
  <si>
    <t>37620818018</t>
  </si>
  <si>
    <t>04123506</t>
  </si>
  <si>
    <t>080879458</t>
  </si>
  <si>
    <t>AGM d.o.o.</t>
  </si>
  <si>
    <t>Mihanovićeva 28</t>
  </si>
  <si>
    <t>agm@agm.hr</t>
  </si>
  <si>
    <t>01/4856-309</t>
  </si>
  <si>
    <t>www.agm.hr</t>
  </si>
  <si>
    <t>03677702</t>
  </si>
  <si>
    <t>Sandra Klisović</t>
  </si>
  <si>
    <t>sandra.klisovic@agm.hr</t>
  </si>
  <si>
    <t>Stjepan Bekavac</t>
  </si>
  <si>
    <t>MSFI</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</si>
</sst>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159">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40064.58</v>
      </c>
      <c r="I3" s="31">
        <f>ABS(ROUND(J3,0)-J3)+ABS(ROUND(K3,0)-K3)</f>
        <v>0</v>
      </c>
      <c r="J3" s="31">
        <f>Bilanca!I10</f>
        <v>324907</v>
      </c>
      <c r="K3" s="31">
        <f>Bilanca!J10</f>
        <v>839161</v>
      </c>
    </row>
    <row r="4" spans="1:11" ht="12.75">
      <c r="A4" s="4" t="s">
        <v>1088</v>
      </c>
      <c r="B4" s="29" t="s">
        <v>1888</v>
      </c>
      <c r="D4" s="4" t="s">
        <v>1521</v>
      </c>
      <c r="E4" s="4">
        <v>1</v>
      </c>
      <c r="F4" s="4">
        <f>Bilanca!G11</f>
        <v>3</v>
      </c>
      <c r="G4" s="4">
        <f>IF(Bilanca!H11=0,"",Bilanca!H11)</f>
      </c>
      <c r="H4" s="30">
        <f>J4/100*F4+2*K4/100*F4</f>
        <v>29420.82</v>
      </c>
      <c r="I4" s="31">
        <f>ABS(ROUND(J4,0)-J4)+ABS(ROUND(K4,0)-K4)</f>
        <v>0</v>
      </c>
      <c r="J4" s="31">
        <f>Bilanca!I11</f>
        <v>0</v>
      </c>
      <c r="K4" s="31">
        <f>Bilanca!J11</f>
        <v>490347</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04123506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2352</v>
      </c>
      <c r="B7" s="29" t="str">
        <f>RefStr!M27</f>
        <v>080879458</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37620818018</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AGM d.o.o.</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10000</v>
      </c>
      <c r="D10" s="4" t="s">
        <v>1521</v>
      </c>
      <c r="E10" s="4">
        <v>1</v>
      </c>
      <c r="F10" s="4">
        <f>Bilanca!G17</f>
        <v>9</v>
      </c>
      <c r="G10" s="4">
        <f>IF(Bilanca!H17=0,"",Bilanca!H17)</f>
      </c>
      <c r="H10" s="30">
        <f t="shared" si="0"/>
        <v>88262.46</v>
      </c>
      <c r="I10" s="31">
        <f t="shared" si="1"/>
        <v>0</v>
      </c>
      <c r="J10" s="31">
        <f>Bilanca!I17</f>
        <v>0</v>
      </c>
      <c r="K10" s="31">
        <f>Bilanca!J17</f>
        <v>490347</v>
      </c>
    </row>
    <row r="11" spans="1:11" ht="12.75">
      <c r="A11" s="4" t="s">
        <v>2355</v>
      </c>
      <c r="B11" s="29" t="str">
        <f>TRIM(RefStr!F31)</f>
        <v>Zagreb</v>
      </c>
      <c r="D11" s="4" t="s">
        <v>1521</v>
      </c>
      <c r="E11" s="4">
        <v>1</v>
      </c>
      <c r="F11" s="4">
        <f>Bilanca!G18</f>
        <v>10</v>
      </c>
      <c r="G11" s="4">
        <f>IF(Bilanca!H18=0,"",Bilanca!H18)</f>
      </c>
      <c r="H11" s="30">
        <f t="shared" si="0"/>
        <v>22043.9</v>
      </c>
      <c r="I11" s="31">
        <f t="shared" si="1"/>
        <v>0</v>
      </c>
      <c r="J11" s="31">
        <f>Bilanca!I18</f>
        <v>62639</v>
      </c>
      <c r="K11" s="31">
        <f>Bilanca!J18</f>
        <v>78900</v>
      </c>
    </row>
    <row r="12" spans="1:11" ht="12.75">
      <c r="A12" s="4" t="s">
        <v>2356</v>
      </c>
      <c r="B12" s="29" t="str">
        <f>TRIM(RefStr!C33)</f>
        <v>Mihanovićeva 28</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agm@agm.hr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www.agm.hr</v>
      </c>
      <c r="D14" s="4" t="s">
        <v>1521</v>
      </c>
      <c r="E14" s="4">
        <v>1</v>
      </c>
      <c r="F14" s="4">
        <f>Bilanca!G21</f>
        <v>13</v>
      </c>
      <c r="G14" s="4">
        <f>IF(Bilanca!H21=0,"",Bilanca!H21)</f>
      </c>
      <c r="H14" s="30">
        <f t="shared" si="0"/>
        <v>7649.85</v>
      </c>
      <c r="I14" s="31">
        <f t="shared" si="1"/>
        <v>0</v>
      </c>
      <c r="J14" s="31">
        <f>Bilanca!I21</f>
        <v>18063</v>
      </c>
      <c r="K14" s="31">
        <f>Bilanca!J21</f>
        <v>20391</v>
      </c>
    </row>
    <row r="15" spans="1:11" ht="12.75">
      <c r="A15" s="4" t="s">
        <v>2359</v>
      </c>
      <c r="B15" s="29" t="str">
        <f>TEXT(RefStr!J39,"00")</f>
        <v>21</v>
      </c>
      <c r="D15" s="4" t="s">
        <v>1521</v>
      </c>
      <c r="E15" s="4">
        <v>1</v>
      </c>
      <c r="F15" s="4">
        <f>Bilanca!G22</f>
        <v>14</v>
      </c>
      <c r="G15" s="4">
        <f>IF(Bilanca!H22=0,"",Bilanca!H22)</f>
      </c>
      <c r="H15" s="30">
        <f t="shared" si="0"/>
        <v>11073.86</v>
      </c>
      <c r="I15" s="31">
        <f t="shared" si="1"/>
        <v>0</v>
      </c>
      <c r="J15" s="31">
        <f>Bilanca!I22</f>
        <v>28411</v>
      </c>
      <c r="K15" s="31">
        <f>Bilanca!J22</f>
        <v>25344</v>
      </c>
    </row>
    <row r="16" spans="1:11" ht="12.75">
      <c r="A16" s="4" t="s">
        <v>2358</v>
      </c>
      <c r="B16" s="29" t="str">
        <f>TEXT(RefStr!C39,"000")</f>
        <v>133</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5811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14849.1</v>
      </c>
      <c r="I19" s="31">
        <f t="shared" si="1"/>
        <v>0</v>
      </c>
      <c r="J19" s="31">
        <f>Bilanca!I26</f>
        <v>16165</v>
      </c>
      <c r="K19" s="31">
        <f>Bilanca!J26</f>
        <v>33165</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27</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179129.47</v>
      </c>
      <c r="I32" s="31">
        <f t="shared" si="1"/>
        <v>0</v>
      </c>
      <c r="J32" s="31">
        <f>Bilanca!I39</f>
        <v>194803</v>
      </c>
      <c r="K32" s="31">
        <f>Bilanca!J39</f>
        <v>191517</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190533.62</v>
      </c>
      <c r="I35" s="31">
        <f t="shared" si="1"/>
        <v>0</v>
      </c>
      <c r="J35" s="31">
        <f>Bilanca!I42</f>
        <v>194803</v>
      </c>
      <c r="K35" s="31">
        <f>Bilanca!J42</f>
        <v>182795</v>
      </c>
    </row>
    <row r="36" spans="1:11" ht="12.75">
      <c r="A36" s="4" t="s">
        <v>1213</v>
      </c>
      <c r="B36" s="29" t="s">
        <v>1813</v>
      </c>
      <c r="D36" s="4" t="s">
        <v>1521</v>
      </c>
      <c r="E36" s="4">
        <v>1</v>
      </c>
      <c r="F36" s="4">
        <f>Bilanca!G43</f>
        <v>35</v>
      </c>
      <c r="G36" s="4">
        <f>IF(Bilanca!H43=0,"",Bilanca!H43)</f>
      </c>
      <c r="H36" s="30">
        <f t="shared" si="0"/>
        <v>6105.4</v>
      </c>
      <c r="I36" s="31">
        <f t="shared" si="1"/>
        <v>0</v>
      </c>
      <c r="J36" s="31">
        <f>Bilanca!I43</f>
        <v>0</v>
      </c>
      <c r="K36" s="31">
        <f>Bilanca!J43</f>
        <v>8722</v>
      </c>
    </row>
    <row r="37" spans="1:11" ht="12.75">
      <c r="A37" s="4" t="s">
        <v>1214</v>
      </c>
      <c r="B37" s="29">
        <f>RefStr!B64</f>
        <v>0</v>
      </c>
      <c r="D37" s="4" t="s">
        <v>1521</v>
      </c>
      <c r="E37" s="4">
        <v>1</v>
      </c>
      <c r="F37" s="4">
        <f>Bilanca!G44</f>
        <v>36</v>
      </c>
      <c r="G37" s="4">
        <f>IF(Bilanca!H44=0,"",Bilanca!H44)</f>
      </c>
      <c r="H37" s="30">
        <f t="shared" si="0"/>
        <v>80733.24</v>
      </c>
      <c r="I37" s="31">
        <f t="shared" si="1"/>
        <v>0</v>
      </c>
      <c r="J37" s="31">
        <f>Bilanca!I44</f>
        <v>67465</v>
      </c>
      <c r="K37" s="31">
        <f>Bilanca!J44</f>
        <v>78397</v>
      </c>
    </row>
    <row r="38" spans="1:11" ht="12.75">
      <c r="A38" s="4" t="s">
        <v>1215</v>
      </c>
      <c r="B38" s="29">
        <f>RefStr!B66</f>
        <v>0</v>
      </c>
      <c r="D38" s="4" t="s">
        <v>1521</v>
      </c>
      <c r="E38" s="4">
        <v>1</v>
      </c>
      <c r="F38" s="4">
        <f>Bilanca!G45</f>
        <v>37</v>
      </c>
      <c r="G38" s="4">
        <f>IF(Bilanca!H45=0,"",Bilanca!H45)</f>
      </c>
      <c r="H38" s="30">
        <f t="shared" si="0"/>
        <v>7535609.4399999995</v>
      </c>
      <c r="I38" s="31">
        <f t="shared" si="1"/>
        <v>0</v>
      </c>
      <c r="J38" s="31">
        <f>Bilanca!I45</f>
        <v>6861838</v>
      </c>
      <c r="K38" s="31">
        <f>Bilanca!J45</f>
        <v>6752337</v>
      </c>
    </row>
    <row r="39" spans="1:11" ht="12.75">
      <c r="A39" s="4" t="s">
        <v>1216</v>
      </c>
      <c r="B39" s="29" t="str">
        <f>RefStr!C68</f>
        <v>Sandra Klisović</v>
      </c>
      <c r="D39" s="4" t="s">
        <v>1521</v>
      </c>
      <c r="E39" s="4">
        <v>1</v>
      </c>
      <c r="F39" s="4">
        <f>Bilanca!G46</f>
        <v>38</v>
      </c>
      <c r="G39" s="4">
        <f>IF(Bilanca!H46=0,"",Bilanca!H46)</f>
      </c>
      <c r="H39" s="30">
        <f t="shared" si="0"/>
        <v>6749725.3</v>
      </c>
      <c r="I39" s="31">
        <f t="shared" si="1"/>
        <v>0</v>
      </c>
      <c r="J39" s="31">
        <f>Bilanca!I46</f>
        <v>5870685</v>
      </c>
      <c r="K39" s="31">
        <f>Bilanca!J46</f>
        <v>5945875</v>
      </c>
    </row>
    <row r="40" spans="1:11" ht="12.75">
      <c r="A40" s="4" t="s">
        <v>1217</v>
      </c>
      <c r="B40" s="29" t="str">
        <f>TRIM(RefStr!C70)</f>
        <v>01/4856-309</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485793.6</v>
      </c>
      <c r="I41" s="31">
        <f t="shared" si="1"/>
        <v>0</v>
      </c>
      <c r="J41" s="31">
        <f>Bilanca!I48</f>
        <v>449680</v>
      </c>
      <c r="K41" s="31">
        <f>Bilanca!J48</f>
        <v>382402</v>
      </c>
    </row>
    <row r="42" spans="1:11" ht="12.75">
      <c r="A42" s="4" t="s">
        <v>531</v>
      </c>
      <c r="B42" s="29" t="str">
        <f>TRIM(RefStr!C72)</f>
        <v>sandra.klisovic@agm.hr</v>
      </c>
      <c r="D42" s="4" t="s">
        <v>1521</v>
      </c>
      <c r="E42" s="4">
        <v>1</v>
      </c>
      <c r="F42" s="4">
        <f>Bilanca!G49</f>
        <v>41</v>
      </c>
      <c r="G42" s="4">
        <f>IF(Bilanca!H49=0,"",Bilanca!H49)</f>
      </c>
      <c r="H42" s="30">
        <f t="shared" si="0"/>
        <v>6151647.38</v>
      </c>
      <c r="I42" s="31">
        <f t="shared" si="1"/>
        <v>0</v>
      </c>
      <c r="J42" s="31">
        <f>Bilanca!I49</f>
        <v>4964886</v>
      </c>
      <c r="K42" s="31">
        <f>Bilanca!J49</f>
        <v>5019566</v>
      </c>
    </row>
    <row r="43" spans="1:11" ht="12.75">
      <c r="A43" s="4" t="s">
        <v>530</v>
      </c>
      <c r="B43" s="29" t="str">
        <f>TRIM(RefStr!A75)</f>
        <v>Stjepan Bekavac</v>
      </c>
      <c r="D43" s="4" t="s">
        <v>1521</v>
      </c>
      <c r="E43" s="4">
        <v>1</v>
      </c>
      <c r="F43" s="4">
        <f>Bilanca!G50</f>
        <v>42</v>
      </c>
      <c r="G43" s="4">
        <f>IF(Bilanca!H50=0,"",Bilanca!H50)</f>
      </c>
      <c r="H43" s="30">
        <f t="shared" si="0"/>
        <v>648451.86</v>
      </c>
      <c r="I43" s="31">
        <f t="shared" si="1"/>
        <v>0</v>
      </c>
      <c r="J43" s="31">
        <f>Bilanca!I50</f>
        <v>456119</v>
      </c>
      <c r="K43" s="31">
        <f>Bilanca!J50</f>
        <v>543907</v>
      </c>
    </row>
    <row r="44" spans="1:11" ht="12.75">
      <c r="A44" s="4" t="s">
        <v>2852</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543180.4199999999</v>
      </c>
      <c r="I47" s="31">
        <f t="shared" si="3"/>
        <v>0</v>
      </c>
      <c r="J47" s="31">
        <f>Bilanca!I54</f>
        <v>451469</v>
      </c>
      <c r="K47" s="31">
        <f>Bilanca!J54</f>
        <v>364679</v>
      </c>
    </row>
    <row r="48" spans="1:11" ht="12.75">
      <c r="A48" s="4" t="s">
        <v>1918</v>
      </c>
      <c r="B48" s="29" t="str">
        <f>RefStr!I54</f>
        <v>NE</v>
      </c>
      <c r="D48" s="4" t="s">
        <v>1521</v>
      </c>
      <c r="E48" s="4">
        <v>1</v>
      </c>
      <c r="F48" s="4">
        <f>Bilanca!G55</f>
        <v>47</v>
      </c>
      <c r="G48" s="4">
        <f>IF(Bilanca!H55=0,"",Bilanca!H55)</f>
      </c>
      <c r="H48" s="30">
        <f t="shared" si="2"/>
        <v>658</v>
      </c>
      <c r="I48" s="31">
        <f t="shared" si="3"/>
        <v>0</v>
      </c>
      <c r="J48" s="31">
        <f>Bilanca!I55</f>
        <v>700</v>
      </c>
      <c r="K48" s="31">
        <f>Bilanca!J55</f>
        <v>350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568357.86</v>
      </c>
      <c r="I50" s="31">
        <f t="shared" si="3"/>
        <v>0</v>
      </c>
      <c r="J50" s="31">
        <f>Bilanca!I57</f>
        <v>437968</v>
      </c>
      <c r="K50" s="31">
        <f>Bilanca!J57</f>
        <v>360973</v>
      </c>
    </row>
    <row r="51" spans="1:11" ht="12.75">
      <c r="A51" s="4" t="s">
        <v>288</v>
      </c>
      <c r="B51" s="29" t="str">
        <f>RefStr!I60</f>
        <v>NE</v>
      </c>
      <c r="D51" s="4" t="s">
        <v>1521</v>
      </c>
      <c r="E51" s="4">
        <v>1</v>
      </c>
      <c r="F51" s="4">
        <f>Bilanca!G58</f>
        <v>50</v>
      </c>
      <c r="G51" s="4">
        <f>IF(Bilanca!H58=0,"",Bilanca!H58)</f>
      </c>
      <c r="H51" s="30">
        <f t="shared" si="2"/>
        <v>463</v>
      </c>
      <c r="I51" s="31">
        <f t="shared" si="3"/>
        <v>0</v>
      </c>
      <c r="J51" s="31">
        <f>Bilanca!I58</f>
        <v>926</v>
      </c>
      <c r="K51" s="31">
        <f>Bilanca!J58</f>
        <v>0</v>
      </c>
    </row>
    <row r="52" spans="1:11" ht="12.75">
      <c r="A52" s="4" t="s">
        <v>1219</v>
      </c>
      <c r="B52" s="29" t="s">
        <v>2618</v>
      </c>
      <c r="D52" s="4" t="s">
        <v>1521</v>
      </c>
      <c r="E52" s="4">
        <v>1</v>
      </c>
      <c r="F52" s="4">
        <f>Bilanca!G59</f>
        <v>51</v>
      </c>
      <c r="G52" s="4">
        <f>IF(Bilanca!H59=0,"",Bilanca!H59)</f>
      </c>
      <c r="H52" s="30">
        <f t="shared" si="2"/>
        <v>9479.37</v>
      </c>
      <c r="I52" s="31">
        <f t="shared" si="3"/>
        <v>0</v>
      </c>
      <c r="J52" s="31">
        <f>Bilanca!I59</f>
        <v>11875</v>
      </c>
      <c r="K52" s="31">
        <f>Bilanca!J59</f>
        <v>3356</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1501212241.5900002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76394522236</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896647.5</v>
      </c>
      <c r="I64" s="31">
        <f t="shared" si="3"/>
        <v>0</v>
      </c>
      <c r="J64" s="31">
        <f>Bilanca!I71</f>
        <v>539684</v>
      </c>
      <c r="K64" s="31">
        <f>Bilanca!J71</f>
        <v>441783</v>
      </c>
    </row>
    <row r="65" spans="1:11" ht="12.75">
      <c r="A65" s="4" t="s">
        <v>687</v>
      </c>
      <c r="B65" s="29" t="str">
        <f>RefStr!N19</f>
        <v>MSFI</v>
      </c>
      <c r="D65" s="4" t="s">
        <v>1521</v>
      </c>
      <c r="E65" s="4">
        <v>1</v>
      </c>
      <c r="F65" s="4">
        <f>Bilanca!G72</f>
        <v>64</v>
      </c>
      <c r="G65" s="4">
        <f>IF(Bilanca!H72=0,"",Bilanca!H72)</f>
      </c>
      <c r="H65" s="30">
        <f t="shared" si="2"/>
        <v>42321.28</v>
      </c>
      <c r="I65" s="31">
        <f t="shared" si="3"/>
        <v>0</v>
      </c>
      <c r="J65" s="31">
        <f>Bilanca!I72</f>
        <v>5173</v>
      </c>
      <c r="K65" s="31">
        <f>Bilanca!J72</f>
        <v>30477</v>
      </c>
    </row>
    <row r="66" spans="1:11" ht="12.75">
      <c r="A66" s="4" t="s">
        <v>688</v>
      </c>
      <c r="B66" s="29">
        <f>RefStr!C23</f>
        <v>1</v>
      </c>
      <c r="D66" s="4" t="s">
        <v>1521</v>
      </c>
      <c r="E66" s="4">
        <v>1</v>
      </c>
      <c r="F66" s="4">
        <f>Bilanca!G73</f>
        <v>65</v>
      </c>
      <c r="G66" s="4">
        <f>IF(Bilanca!H73=0,"",Bilanca!H73)</f>
      </c>
      <c r="H66" s="30">
        <f t="shared" si="2"/>
        <v>14583314.2</v>
      </c>
      <c r="I66" s="31">
        <f t="shared" si="3"/>
        <v>0</v>
      </c>
      <c r="J66" s="31">
        <f>Bilanca!I73</f>
        <v>7191918</v>
      </c>
      <c r="K66" s="31">
        <f>Bilanca!J73</f>
        <v>7621975</v>
      </c>
    </row>
    <row r="67" spans="1:11" ht="12.75">
      <c r="A67" s="4" t="s">
        <v>689</v>
      </c>
      <c r="B67" s="29" t="str">
        <f>RefStr!L35</f>
        <v>01/4856-309</v>
      </c>
      <c r="D67" s="4" t="s">
        <v>1521</v>
      </c>
      <c r="E67" s="4">
        <v>1</v>
      </c>
      <c r="F67" s="4">
        <f>Bilanca!G74</f>
        <v>66</v>
      </c>
      <c r="G67" s="4">
        <f>IF(Bilanca!H74=0,"",Bilanca!H74)</f>
      </c>
      <c r="H67" s="30">
        <f t="shared" si="2"/>
        <v>2295825.1799999997</v>
      </c>
      <c r="I67" s="31">
        <f t="shared" si="3"/>
        <v>0</v>
      </c>
      <c r="J67" s="31">
        <f>Bilanca!I74</f>
        <v>1282525</v>
      </c>
      <c r="K67" s="31">
        <f>Bilanca!J74</f>
        <v>1097999</v>
      </c>
    </row>
    <row r="68" spans="1:11" ht="12.75">
      <c r="A68" s="4" t="s">
        <v>690</v>
      </c>
      <c r="B68" s="29">
        <f>RefStr!C44</f>
        <v>2</v>
      </c>
      <c r="D68" s="4" t="s">
        <v>1521</v>
      </c>
      <c r="E68" s="4">
        <v>1</v>
      </c>
      <c r="F68" s="4">
        <f>Bilanca!G76</f>
        <v>67</v>
      </c>
      <c r="G68" s="4">
        <f>IF(Bilanca!H76=0,"",Bilanca!H76)</f>
      </c>
      <c r="H68" s="30">
        <f t="shared" si="2"/>
        <v>-13109261.54</v>
      </c>
      <c r="I68" s="31">
        <f t="shared" si="3"/>
        <v>0</v>
      </c>
      <c r="J68" s="31">
        <f>Bilanca!I76</f>
        <v>-5206808</v>
      </c>
      <c r="K68" s="31">
        <f>Bilanca!J76</f>
        <v>-7179627</v>
      </c>
    </row>
    <row r="69" spans="1:11" ht="12.75">
      <c r="A69" s="4" t="s">
        <v>691</v>
      </c>
      <c r="B69" s="29" t="str">
        <f>RefStr!M46</f>
        <v>03677702</v>
      </c>
      <c r="D69" s="4" t="s">
        <v>1521</v>
      </c>
      <c r="E69" s="4">
        <v>1</v>
      </c>
      <c r="F69" s="4">
        <f>Bilanca!G77</f>
        <v>68</v>
      </c>
      <c r="G69" s="4">
        <f>IF(Bilanca!H77=0,"",Bilanca!H77)</f>
      </c>
      <c r="H69" s="30">
        <f t="shared" si="2"/>
        <v>10461528</v>
      </c>
      <c r="I69" s="31">
        <f t="shared" si="3"/>
        <v>0</v>
      </c>
      <c r="J69" s="31">
        <f>Bilanca!I77</f>
        <v>5128200</v>
      </c>
      <c r="K69" s="31">
        <f>Bilanca!J77</f>
        <v>5128200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-23245991.55</v>
      </c>
      <c r="I82" s="31">
        <f t="shared" si="3"/>
        <v>0</v>
      </c>
      <c r="J82" s="31">
        <f>Bilanca!I90</f>
        <v>-8028739</v>
      </c>
      <c r="K82" s="31">
        <f>Bilanca!J90</f>
        <v>-10335008</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23819966.650000002</v>
      </c>
      <c r="I84" s="31">
        <f t="shared" si="3"/>
        <v>0</v>
      </c>
      <c r="J84" s="31">
        <f>Bilanca!I92</f>
        <v>8028739</v>
      </c>
      <c r="K84" s="31">
        <f>Bilanca!J92</f>
        <v>10335008</v>
      </c>
    </row>
    <row r="85" spans="4:11" ht="12.75">
      <c r="D85" s="4" t="s">
        <v>1521</v>
      </c>
      <c r="E85" s="4">
        <v>1</v>
      </c>
      <c r="F85" s="4">
        <f>Bilanca!G93</f>
        <v>84</v>
      </c>
      <c r="G85" s="4">
        <f>IF(Bilanca!H93=0,"",Bilanca!H93)</f>
      </c>
      <c r="H85" s="30">
        <f>J85/100*F85+2*K85/100*F85</f>
        <v>-5251601.88</v>
      </c>
      <c r="I85" s="31">
        <f>ABS(ROUND(J85,0)-J85)+ABS(ROUND(K85,0)-K85)</f>
        <v>0</v>
      </c>
      <c r="J85" s="31">
        <f>Bilanca!I93</f>
        <v>-2306269</v>
      </c>
      <c r="K85" s="31">
        <f>Bilanca!J93</f>
        <v>-1972819</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5376640.02</v>
      </c>
      <c r="I87" s="31">
        <f aca="true" t="shared" si="5" ref="I87:I127">ABS(ROUND(J87,0)-J87)+ABS(ROUND(K87,0)-K87)</f>
        <v>0</v>
      </c>
      <c r="J87" s="31">
        <f>Bilanca!I95</f>
        <v>2306269</v>
      </c>
      <c r="K87" s="31">
        <f>Bilanca!J95</f>
        <v>1972819</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1276778.8</v>
      </c>
      <c r="I89" s="31">
        <f t="shared" si="5"/>
        <v>0</v>
      </c>
      <c r="J89" s="31">
        <f>Bilanca!I97</f>
        <v>429807</v>
      </c>
      <c r="K89" s="31">
        <f>Bilanca!J97</f>
        <v>510539</v>
      </c>
    </row>
    <row r="90" spans="4:11" ht="12.75">
      <c r="D90" s="4" t="s">
        <v>1521</v>
      </c>
      <c r="E90" s="4">
        <v>1</v>
      </c>
      <c r="F90" s="4">
        <f>Bilanca!G98</f>
        <v>89</v>
      </c>
      <c r="G90" s="4">
        <f>IF(Bilanca!H98=0,"",Bilanca!H98)</f>
      </c>
      <c r="H90" s="30">
        <f t="shared" si="4"/>
        <v>1108837.6500000001</v>
      </c>
      <c r="I90" s="31">
        <f t="shared" si="5"/>
        <v>0</v>
      </c>
      <c r="J90" s="31">
        <f>Bilanca!I98</f>
        <v>374807</v>
      </c>
      <c r="K90" s="31">
        <f>Bilanca!J98</f>
        <v>435539</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186550</v>
      </c>
      <c r="I92" s="31">
        <f t="shared" si="5"/>
        <v>0</v>
      </c>
      <c r="J92" s="31">
        <f>Bilanca!I100</f>
        <v>55000</v>
      </c>
      <c r="K92" s="31">
        <f>Bilanca!J100</f>
        <v>75000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1053180.45</v>
      </c>
      <c r="I96" s="31">
        <f t="shared" si="5"/>
        <v>0</v>
      </c>
      <c r="J96" s="31">
        <f>Bilanca!I104</f>
        <v>126393</v>
      </c>
      <c r="K96" s="31">
        <f>Bilanca!J104</f>
        <v>491109</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767393.26</v>
      </c>
      <c r="I104" s="31">
        <f t="shared" si="5"/>
        <v>0</v>
      </c>
      <c r="J104" s="31">
        <f>Bilanca!I112</f>
        <v>0</v>
      </c>
      <c r="K104" s="31">
        <f>Bilanca!J112</f>
        <v>372521</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381747.45</v>
      </c>
      <c r="I106" s="31">
        <f t="shared" si="5"/>
        <v>0</v>
      </c>
      <c r="J106" s="31">
        <f>Bilanca!I114</f>
        <v>126393</v>
      </c>
      <c r="K106" s="31">
        <f>Bilanca!J114</f>
        <v>118588</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40681874.010000005</v>
      </c>
      <c r="I108" s="31">
        <f t="shared" si="5"/>
        <v>0</v>
      </c>
      <c r="J108" s="31">
        <f>Bilanca!I116</f>
        <v>11453911</v>
      </c>
      <c r="K108" s="31">
        <f>Bilanca!J116</f>
        <v>13283266</v>
      </c>
    </row>
    <row r="109" spans="4:11" ht="12.75">
      <c r="D109" s="4" t="s">
        <v>1521</v>
      </c>
      <c r="E109" s="4">
        <v>1</v>
      </c>
      <c r="F109" s="4">
        <f>Bilanca!G117</f>
        <v>108</v>
      </c>
      <c r="G109" s="4">
        <f>IF(Bilanca!H117=0,"",Bilanca!H117)</f>
      </c>
      <c r="H109" s="30">
        <f t="shared" si="4"/>
        <v>1279603.44</v>
      </c>
      <c r="I109" s="31">
        <f t="shared" si="5"/>
        <v>0</v>
      </c>
      <c r="J109" s="31">
        <f>Bilanca!I117</f>
        <v>376462</v>
      </c>
      <c r="K109" s="31">
        <f>Bilanca!J117</f>
        <v>404178</v>
      </c>
    </row>
    <row r="110" spans="4:11" ht="12.75">
      <c r="D110" s="4" t="s">
        <v>1521</v>
      </c>
      <c r="E110" s="4">
        <v>1</v>
      </c>
      <c r="F110" s="4">
        <f>Bilanca!G118</f>
        <v>109</v>
      </c>
      <c r="G110" s="4">
        <f>IF(Bilanca!H118=0,"",Bilanca!H118)</f>
      </c>
      <c r="H110" s="30">
        <f t="shared" si="4"/>
        <v>32189856.02</v>
      </c>
      <c r="I110" s="31">
        <f t="shared" si="5"/>
        <v>0</v>
      </c>
      <c r="J110" s="31">
        <f>Bilanca!I118</f>
        <v>8596656</v>
      </c>
      <c r="K110" s="31">
        <f>Bilanca!J118</f>
        <v>10467661</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32193.6</v>
      </c>
      <c r="I115" s="31">
        <f t="shared" si="5"/>
        <v>0</v>
      </c>
      <c r="J115" s="31">
        <f>Bilanca!I123</f>
        <v>0</v>
      </c>
      <c r="K115" s="31">
        <f>Bilanca!J123</f>
        <v>14120</v>
      </c>
    </row>
    <row r="116" spans="4:11" ht="12.75">
      <c r="D116" s="4" t="s">
        <v>1521</v>
      </c>
      <c r="E116" s="4">
        <v>1</v>
      </c>
      <c r="F116" s="4">
        <f>Bilanca!G124</f>
        <v>115</v>
      </c>
      <c r="G116" s="4">
        <f>IF(Bilanca!H124=0,"",Bilanca!H124)</f>
      </c>
      <c r="H116" s="30">
        <f t="shared" si="4"/>
        <v>2669521.45</v>
      </c>
      <c r="I116" s="31">
        <f t="shared" si="5"/>
        <v>0</v>
      </c>
      <c r="J116" s="31">
        <f>Bilanca!I124</f>
        <v>902137</v>
      </c>
      <c r="K116" s="31">
        <f>Bilanca!J124</f>
        <v>709593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674426.61</v>
      </c>
      <c r="I118" s="31">
        <f t="shared" si="5"/>
        <v>0</v>
      </c>
      <c r="J118" s="31">
        <f>Bilanca!I126</f>
        <v>198365</v>
      </c>
      <c r="K118" s="31">
        <f>Bilanca!J126</f>
        <v>189034</v>
      </c>
    </row>
    <row r="119" spans="4:11" ht="12.75">
      <c r="D119" s="4" t="s">
        <v>1521</v>
      </c>
      <c r="E119" s="4">
        <v>1</v>
      </c>
      <c r="F119" s="4">
        <f>Bilanca!G127</f>
        <v>118</v>
      </c>
      <c r="G119" s="4">
        <f>IF(Bilanca!H127=0,"",Bilanca!H127)</f>
      </c>
      <c r="H119" s="30">
        <f t="shared" si="4"/>
        <v>526808.64</v>
      </c>
      <c r="I119" s="31">
        <f t="shared" si="5"/>
        <v>0</v>
      </c>
      <c r="J119" s="31">
        <f>Bilanca!I127</f>
        <v>156848</v>
      </c>
      <c r="K119" s="31">
        <f>Bilanca!J127</f>
        <v>144800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4756755.63</v>
      </c>
      <c r="I122" s="31">
        <f t="shared" si="5"/>
        <v>0</v>
      </c>
      <c r="J122" s="31">
        <f>Bilanca!I130</f>
        <v>1223443</v>
      </c>
      <c r="K122" s="31">
        <f>Bilanca!J130</f>
        <v>1353880</v>
      </c>
    </row>
    <row r="123" spans="4:11" ht="12.75">
      <c r="D123" s="4" t="s">
        <v>1521</v>
      </c>
      <c r="E123" s="4">
        <v>1</v>
      </c>
      <c r="F123" s="4">
        <f>Bilanca!G131</f>
        <v>122</v>
      </c>
      <c r="G123" s="4">
        <f>IF(Bilanca!H131=0,"",Bilanca!H131)</f>
      </c>
      <c r="H123" s="30">
        <f t="shared" si="4"/>
        <v>1734829.02</v>
      </c>
      <c r="I123" s="31">
        <f t="shared" si="5"/>
        <v>0</v>
      </c>
      <c r="J123" s="31">
        <f>Bilanca!I131</f>
        <v>388615</v>
      </c>
      <c r="K123" s="31">
        <f>Bilanca!J131</f>
        <v>516688</v>
      </c>
    </row>
    <row r="124" spans="4:11" ht="12.75">
      <c r="D124" s="4" t="s">
        <v>1521</v>
      </c>
      <c r="E124" s="4">
        <v>1</v>
      </c>
      <c r="F124" s="4">
        <f>Bilanca!G132</f>
        <v>123</v>
      </c>
      <c r="G124" s="4">
        <f>IF(Bilanca!H132=0,"",Bilanca!H132)</f>
      </c>
      <c r="H124" s="30">
        <f t="shared" si="4"/>
        <v>27596117.64</v>
      </c>
      <c r="I124" s="31">
        <f t="shared" si="5"/>
        <v>0</v>
      </c>
      <c r="J124" s="31">
        <f>Bilanca!I132</f>
        <v>7191918</v>
      </c>
      <c r="K124" s="31">
        <f>Bilanca!J132</f>
        <v>7621975</v>
      </c>
    </row>
    <row r="125" spans="4:11" ht="12.75">
      <c r="D125" s="4" t="s">
        <v>1521</v>
      </c>
      <c r="E125" s="4">
        <v>1</v>
      </c>
      <c r="F125" s="4">
        <f>Bilanca!G133</f>
        <v>124</v>
      </c>
      <c r="G125" s="4">
        <f>IF(Bilanca!H133=0,"",Bilanca!H133)</f>
      </c>
      <c r="H125" s="30">
        <f t="shared" si="4"/>
        <v>4313368.52</v>
      </c>
      <c r="I125" s="31">
        <f t="shared" si="5"/>
        <v>0</v>
      </c>
      <c r="J125" s="31">
        <f>Bilanca!I133</f>
        <v>1282525</v>
      </c>
      <c r="K125" s="31">
        <f>Bilanca!J133</f>
        <v>1097999</v>
      </c>
    </row>
    <row r="126" spans="4:11" ht="12.75">
      <c r="D126" s="4" t="s">
        <v>541</v>
      </c>
      <c r="E126" s="4">
        <v>2</v>
      </c>
      <c r="F126" s="4">
        <f>RDG!G8</f>
        <v>125</v>
      </c>
      <c r="G126" s="4">
        <f>IF(RDG!H8=0,"",RDG!H8)</f>
      </c>
      <c r="H126" s="30">
        <f t="shared" si="4"/>
        <v>23655652.5</v>
      </c>
      <c r="I126" s="4">
        <f t="shared" si="5"/>
        <v>0</v>
      </c>
      <c r="J126" s="31">
        <f>RDG!I8</f>
        <v>6402562</v>
      </c>
      <c r="K126" s="31">
        <f>RDG!J8</f>
        <v>6260980</v>
      </c>
    </row>
    <row r="127" spans="4:11" ht="12.75">
      <c r="D127" s="4" t="s">
        <v>541</v>
      </c>
      <c r="E127" s="4">
        <v>2</v>
      </c>
      <c r="F127" s="4">
        <f>RDG!G9</f>
        <v>126</v>
      </c>
      <c r="G127" s="4">
        <f>IF(RDG!H9=0,"",RDG!H9)</f>
      </c>
      <c r="H127" s="30">
        <f t="shared" si="4"/>
        <v>985498.92</v>
      </c>
      <c r="I127" s="4">
        <f t="shared" si="5"/>
        <v>0</v>
      </c>
      <c r="J127" s="31">
        <f>RDG!I9</f>
        <v>400290</v>
      </c>
      <c r="K127" s="31">
        <f>RDG!J9</f>
        <v>190926</v>
      </c>
    </row>
    <row r="128" spans="4:11" ht="12.75">
      <c r="D128" s="4" t="s">
        <v>541</v>
      </c>
      <c r="E128" s="4">
        <v>2</v>
      </c>
      <c r="F128" s="4">
        <f>RDG!G10</f>
        <v>127</v>
      </c>
      <c r="G128" s="4">
        <f>IF(RDG!H10=0,"",RDG!H10)</f>
      </c>
      <c r="H128" s="30">
        <f aca="true" t="shared" si="6" ref="H128:H190">J128/100*F128+2*K128/100*F128</f>
        <v>20396399.39</v>
      </c>
      <c r="I128" s="4">
        <f aca="true" t="shared" si="7" ref="I128:I190">ABS(ROUND(J128,0)-J128)+ABS(ROUND(K128,0)-K128)</f>
        <v>0</v>
      </c>
      <c r="J128" s="31">
        <f>RDG!I10</f>
        <v>5411375</v>
      </c>
      <c r="K128" s="31">
        <f>RDG!J10</f>
        <v>5324391</v>
      </c>
    </row>
    <row r="129" spans="4:11" ht="12.75">
      <c r="D129" s="4" t="s">
        <v>541</v>
      </c>
      <c r="E129" s="4">
        <v>2</v>
      </c>
      <c r="F129" s="4">
        <f>RDG!G11</f>
        <v>128</v>
      </c>
      <c r="G129" s="4">
        <f>IF(RDG!H11=0,"",RDG!H11)</f>
      </c>
      <c r="H129" s="30">
        <f t="shared" si="6"/>
        <v>231027.2</v>
      </c>
      <c r="I129" s="4">
        <f t="shared" si="7"/>
        <v>0</v>
      </c>
      <c r="J129" s="31">
        <f>RDG!I11</f>
        <v>34996</v>
      </c>
      <c r="K129" s="31">
        <f>RDG!J11</f>
        <v>72747</v>
      </c>
    </row>
    <row r="130" spans="4:11" ht="12.75">
      <c r="D130" s="4" t="s">
        <v>541</v>
      </c>
      <c r="E130" s="4">
        <v>2</v>
      </c>
      <c r="F130" s="4">
        <f>RDG!G12</f>
        <v>129</v>
      </c>
      <c r="G130" s="4">
        <f>IF(RDG!H12=0,"",RDG!H12)</f>
      </c>
      <c r="H130" s="30">
        <f t="shared" si="6"/>
        <v>562440</v>
      </c>
      <c r="I130" s="4">
        <f t="shared" si="7"/>
        <v>0</v>
      </c>
      <c r="J130" s="31">
        <f>RDG!I12</f>
        <v>110000</v>
      </c>
      <c r="K130" s="31">
        <f>RDG!J12</f>
        <v>163000</v>
      </c>
    </row>
    <row r="131" spans="4:11" ht="12.75">
      <c r="D131" s="4" t="s">
        <v>541</v>
      </c>
      <c r="E131" s="4">
        <v>2</v>
      </c>
      <c r="F131" s="4">
        <f>RDG!G13</f>
        <v>130</v>
      </c>
      <c r="G131" s="4">
        <f>IF(RDG!H13=0,"",RDG!H13)</f>
      </c>
      <c r="H131" s="30">
        <f t="shared" si="6"/>
        <v>1905452.9</v>
      </c>
      <c r="I131" s="4">
        <f t="shared" si="7"/>
        <v>0</v>
      </c>
      <c r="J131" s="31">
        <f>RDG!I13</f>
        <v>445901</v>
      </c>
      <c r="K131" s="31">
        <f>RDG!J13</f>
        <v>509916</v>
      </c>
    </row>
    <row r="132" spans="4:11" ht="12.75">
      <c r="D132" s="4" t="s">
        <v>541</v>
      </c>
      <c r="E132" s="4">
        <v>2</v>
      </c>
      <c r="F132" s="4">
        <f>RDG!G14</f>
        <v>131</v>
      </c>
      <c r="G132" s="4">
        <f>IF(RDG!H14=0,"",RDG!H14)</f>
      </c>
      <c r="H132" s="30">
        <f t="shared" si="6"/>
        <v>31580408.42</v>
      </c>
      <c r="I132" s="4">
        <f t="shared" si="7"/>
        <v>0</v>
      </c>
      <c r="J132" s="31">
        <f>RDG!I14</f>
        <v>8383368</v>
      </c>
      <c r="K132" s="31">
        <f>RDG!J14</f>
        <v>7861907</v>
      </c>
    </row>
    <row r="133" spans="4:11" ht="12.75">
      <c r="D133" s="4" t="s">
        <v>541</v>
      </c>
      <c r="E133" s="4">
        <v>2</v>
      </c>
      <c r="F133" s="4">
        <f>RDG!G15</f>
        <v>132</v>
      </c>
      <c r="G133" s="4">
        <f>IF(RDG!H15=0,"",RDG!H15)</f>
      </c>
      <c r="H133" s="30">
        <f t="shared" si="6"/>
        <v>548301.6</v>
      </c>
      <c r="I133" s="4">
        <f t="shared" si="7"/>
        <v>0</v>
      </c>
      <c r="J133" s="31">
        <f>RDG!I15</f>
        <v>397184</v>
      </c>
      <c r="K133" s="31">
        <f>RDG!J15</f>
        <v>9098</v>
      </c>
    </row>
    <row r="134" spans="4:11" ht="12.75">
      <c r="D134" s="4" t="s">
        <v>541</v>
      </c>
      <c r="E134" s="4">
        <v>2</v>
      </c>
      <c r="F134" s="4">
        <f>RDG!G16</f>
        <v>133</v>
      </c>
      <c r="G134" s="4">
        <f>IF(RDG!H16=0,"",RDG!H16)</f>
      </c>
      <c r="H134" s="30">
        <f t="shared" si="6"/>
        <v>12813345.02</v>
      </c>
      <c r="I134" s="4">
        <f t="shared" si="7"/>
        <v>0</v>
      </c>
      <c r="J134" s="31">
        <f>RDG!I16</f>
        <v>3066532</v>
      </c>
      <c r="K134" s="31">
        <f>RDG!J16</f>
        <v>3283781</v>
      </c>
    </row>
    <row r="135" spans="4:11" ht="12.75">
      <c r="D135" s="4" t="s">
        <v>541</v>
      </c>
      <c r="E135" s="4">
        <v>2</v>
      </c>
      <c r="F135" s="4">
        <f>RDG!G17</f>
        <v>134</v>
      </c>
      <c r="G135" s="4">
        <f>IF(RDG!H17=0,"",RDG!H17)</f>
      </c>
      <c r="H135" s="30">
        <f t="shared" si="6"/>
        <v>522104.20000000007</v>
      </c>
      <c r="I135" s="4">
        <f t="shared" si="7"/>
        <v>0</v>
      </c>
      <c r="J135" s="31">
        <f>RDG!I17</f>
        <v>123638</v>
      </c>
      <c r="K135" s="31">
        <f>RDG!J17</f>
        <v>132996</v>
      </c>
    </row>
    <row r="136" spans="4:11" ht="12.75">
      <c r="D136" s="4" t="s">
        <v>541</v>
      </c>
      <c r="E136" s="4">
        <v>2</v>
      </c>
      <c r="F136" s="4">
        <f>RDG!G18</f>
        <v>135</v>
      </c>
      <c r="G136" s="4">
        <f>IF(RDG!H18=0,"",RDG!H18)</f>
      </c>
      <c r="H136" s="30">
        <f t="shared" si="6"/>
        <v>6535921.05</v>
      </c>
      <c r="I136" s="4">
        <f t="shared" si="7"/>
        <v>0</v>
      </c>
      <c r="J136" s="31">
        <f>RDG!I18</f>
        <v>1682485</v>
      </c>
      <c r="K136" s="31">
        <f>RDG!J18</f>
        <v>1579469</v>
      </c>
    </row>
    <row r="137" spans="4:11" ht="12.75">
      <c r="D137" s="4" t="s">
        <v>541</v>
      </c>
      <c r="E137" s="4">
        <v>2</v>
      </c>
      <c r="F137" s="4">
        <f>RDG!G19</f>
        <v>136</v>
      </c>
      <c r="G137" s="4">
        <f>IF(RDG!H19=0,"",RDG!H19)</f>
      </c>
      <c r="H137" s="30">
        <f t="shared" si="6"/>
        <v>5988135.76</v>
      </c>
      <c r="I137" s="4">
        <f t="shared" si="7"/>
        <v>0</v>
      </c>
      <c r="J137" s="31">
        <f>RDG!I19</f>
        <v>1260409</v>
      </c>
      <c r="K137" s="31">
        <f>RDG!J19</f>
        <v>1571316</v>
      </c>
    </row>
    <row r="138" spans="4:11" ht="12.75">
      <c r="D138" s="4" t="s">
        <v>541</v>
      </c>
      <c r="E138" s="4">
        <v>2</v>
      </c>
      <c r="F138" s="4">
        <f>RDG!G20</f>
        <v>137</v>
      </c>
      <c r="G138" s="4">
        <f>IF(RDG!H20=0,"",RDG!H20)</f>
      </c>
      <c r="H138" s="30">
        <f t="shared" si="6"/>
        <v>15685087.529999997</v>
      </c>
      <c r="I138" s="4">
        <f t="shared" si="7"/>
        <v>0</v>
      </c>
      <c r="J138" s="31">
        <f>RDG!I20</f>
        <v>3974865</v>
      </c>
      <c r="K138" s="31">
        <f>RDG!J20</f>
        <v>3737052</v>
      </c>
    </row>
    <row r="139" spans="4:11" ht="12.75">
      <c r="D139" s="4" t="s">
        <v>541</v>
      </c>
      <c r="E139" s="4">
        <v>2</v>
      </c>
      <c r="F139" s="4">
        <f>RDG!G21</f>
        <v>138</v>
      </c>
      <c r="G139" s="4">
        <f>IF(RDG!H21=0,"",RDG!H21)</f>
      </c>
      <c r="H139" s="30">
        <f t="shared" si="6"/>
        <v>9484076.22</v>
      </c>
      <c r="I139" s="4">
        <f t="shared" si="7"/>
        <v>0</v>
      </c>
      <c r="J139" s="31">
        <f>RDG!I21</f>
        <v>2384561</v>
      </c>
      <c r="K139" s="31">
        <f>RDG!J21</f>
        <v>2243979</v>
      </c>
    </row>
    <row r="140" spans="4:11" ht="12.75">
      <c r="D140" s="4" t="s">
        <v>541</v>
      </c>
      <c r="E140" s="4">
        <v>2</v>
      </c>
      <c r="F140" s="4">
        <f>RDG!G22</f>
        <v>139</v>
      </c>
      <c r="G140" s="4">
        <f>IF(RDG!H22=0,"",RDG!H22)</f>
      </c>
      <c r="H140" s="30">
        <f t="shared" si="6"/>
        <v>4058181.45</v>
      </c>
      <c r="I140" s="4">
        <f t="shared" si="7"/>
        <v>0</v>
      </c>
      <c r="J140" s="31">
        <f>RDG!I22</f>
        <v>995683</v>
      </c>
      <c r="K140" s="31">
        <f>RDG!J22</f>
        <v>961936</v>
      </c>
    </row>
    <row r="141" spans="4:11" ht="12.75">
      <c r="D141" s="4" t="s">
        <v>541</v>
      </c>
      <c r="E141" s="4">
        <v>2</v>
      </c>
      <c r="F141" s="4">
        <f>RDG!G23</f>
        <v>140</v>
      </c>
      <c r="G141" s="4">
        <f>IF(RDG!H23=0,"",RDG!H23)</f>
      </c>
      <c r="H141" s="30">
        <f t="shared" si="6"/>
        <v>2319653</v>
      </c>
      <c r="I141" s="4">
        <f t="shared" si="7"/>
        <v>0</v>
      </c>
      <c r="J141" s="31">
        <f>RDG!I23</f>
        <v>594621</v>
      </c>
      <c r="K141" s="31">
        <f>RDG!J23</f>
        <v>531137</v>
      </c>
    </row>
    <row r="142" spans="4:11" ht="12.75">
      <c r="D142" s="4" t="s">
        <v>541</v>
      </c>
      <c r="E142" s="4">
        <v>2</v>
      </c>
      <c r="F142" s="4">
        <f>RDG!G24</f>
        <v>141</v>
      </c>
      <c r="G142" s="4">
        <f>IF(RDG!H24=0,"",RDG!H24)</f>
      </c>
      <c r="H142" s="30">
        <f t="shared" si="6"/>
        <v>505124.04</v>
      </c>
      <c r="I142" s="4">
        <f t="shared" si="7"/>
        <v>0</v>
      </c>
      <c r="J142" s="31">
        <f>RDG!I24</f>
        <v>11422</v>
      </c>
      <c r="K142" s="31">
        <f>RDG!J24</f>
        <v>173411</v>
      </c>
    </row>
    <row r="143" spans="4:11" ht="12.75">
      <c r="D143" s="4" t="s">
        <v>541</v>
      </c>
      <c r="E143" s="4">
        <v>2</v>
      </c>
      <c r="F143" s="4">
        <f>RDG!G25</f>
        <v>142</v>
      </c>
      <c r="G143" s="4">
        <f>IF(RDG!H25=0,"",RDG!H25)</f>
      </c>
      <c r="H143" s="30">
        <f t="shared" si="6"/>
        <v>1671497.6199999999</v>
      </c>
      <c r="I143" s="4">
        <f t="shared" si="7"/>
        <v>0</v>
      </c>
      <c r="J143" s="31">
        <f>RDG!I25</f>
        <v>379563</v>
      </c>
      <c r="K143" s="31">
        <f>RDG!J25</f>
        <v>398774</v>
      </c>
    </row>
    <row r="144" spans="4:11" ht="12.75">
      <c r="D144" s="4" t="s">
        <v>541</v>
      </c>
      <c r="E144" s="4">
        <v>2</v>
      </c>
      <c r="F144" s="4">
        <f>RDG!G26</f>
        <v>143</v>
      </c>
      <c r="G144" s="4">
        <f>IF(RDG!H26=0,"",RDG!H26)</f>
      </c>
      <c r="H144" s="30">
        <f t="shared" si="6"/>
        <v>246080.12</v>
      </c>
      <c r="I144" s="4">
        <f t="shared" si="7"/>
        <v>0</v>
      </c>
      <c r="J144" s="31">
        <f>RDG!I26</f>
        <v>172084</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249521.8</v>
      </c>
      <c r="I146" s="4">
        <f t="shared" si="7"/>
        <v>0</v>
      </c>
      <c r="J146" s="31">
        <f>RDG!I28</f>
        <v>172084</v>
      </c>
      <c r="K146" s="31">
        <f>RDG!J28</f>
        <v>0</v>
      </c>
    </row>
    <row r="147" spans="4:11" ht="12.75">
      <c r="D147" s="4" t="s">
        <v>541</v>
      </c>
      <c r="E147" s="4">
        <v>2</v>
      </c>
      <c r="F147" s="4">
        <f>RDG!G29</f>
        <v>146</v>
      </c>
      <c r="G147" s="4">
        <f>IF(RDG!H29=0,"",RDG!H29)</f>
      </c>
      <c r="H147" s="30">
        <f t="shared" si="6"/>
        <v>1036329.8999999999</v>
      </c>
      <c r="I147" s="4">
        <f t="shared" si="7"/>
        <v>0</v>
      </c>
      <c r="J147" s="31">
        <f>RDG!I29</f>
        <v>192725</v>
      </c>
      <c r="K147" s="31">
        <f>RDG!J29</f>
        <v>258545</v>
      </c>
    </row>
    <row r="148" spans="4:11" ht="12.75">
      <c r="D148" s="4" t="s">
        <v>541</v>
      </c>
      <c r="E148" s="4">
        <v>2</v>
      </c>
      <c r="F148" s="4">
        <f>RDG!G30</f>
        <v>147</v>
      </c>
      <c r="G148" s="4">
        <f>IF(RDG!H30=0,"",RDG!H30)</f>
      </c>
      <c r="H148" s="30">
        <f t="shared" si="6"/>
        <v>203794.91999999998</v>
      </c>
      <c r="I148" s="4">
        <f t="shared" si="7"/>
        <v>0</v>
      </c>
      <c r="J148" s="31">
        <f>RDG!I30</f>
        <v>0</v>
      </c>
      <c r="K148" s="31">
        <f>RDG!J30</f>
        <v>69318</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186250</v>
      </c>
      <c r="I150" s="4">
        <f t="shared" si="7"/>
        <v>0</v>
      </c>
      <c r="J150" s="31">
        <f>RDG!I32</f>
        <v>55000</v>
      </c>
      <c r="K150" s="31">
        <f>RDG!J32</f>
        <v>35000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678192.0800000001</v>
      </c>
      <c r="I153" s="4">
        <f t="shared" si="7"/>
        <v>0</v>
      </c>
      <c r="J153" s="31">
        <f>RDG!I35</f>
        <v>137725</v>
      </c>
      <c r="K153" s="31">
        <f>RDG!J35</f>
        <v>154227</v>
      </c>
    </row>
    <row r="154" spans="4:11" ht="12.75">
      <c r="D154" s="4" t="s">
        <v>541</v>
      </c>
      <c r="E154" s="4">
        <v>2</v>
      </c>
      <c r="F154" s="4">
        <f>RDG!G36</f>
        <v>153</v>
      </c>
      <c r="G154" s="4">
        <f>IF(RDG!H36=0,"",RDG!H36)</f>
      </c>
      <c r="H154" s="30">
        <f t="shared" si="6"/>
        <v>292972.05000000005</v>
      </c>
      <c r="I154" s="4">
        <f t="shared" si="7"/>
        <v>0</v>
      </c>
      <c r="J154" s="31">
        <f>RDG!I36</f>
        <v>188993</v>
      </c>
      <c r="K154" s="31">
        <f>RDG!J36</f>
        <v>1246</v>
      </c>
    </row>
    <row r="155" spans="4:11" ht="12.75">
      <c r="D155" s="4" t="s">
        <v>541</v>
      </c>
      <c r="E155" s="4">
        <v>2</v>
      </c>
      <c r="F155" s="4">
        <f>RDG!G37</f>
        <v>154</v>
      </c>
      <c r="G155" s="4">
        <f>IF(RDG!H37=0,"",RDG!H37)</f>
      </c>
      <c r="H155" s="30">
        <f t="shared" si="6"/>
        <v>13901.58</v>
      </c>
      <c r="I155" s="4">
        <f t="shared" si="7"/>
        <v>0</v>
      </c>
      <c r="J155" s="31">
        <f>RDG!I37</f>
        <v>2635</v>
      </c>
      <c r="K155" s="31">
        <f>RDG!J37</f>
        <v>3196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1397.48</v>
      </c>
      <c r="I162" s="4">
        <f t="shared" si="7"/>
        <v>0</v>
      </c>
      <c r="J162" s="31">
        <f>RDG!I44</f>
        <v>822</v>
      </c>
      <c r="K162" s="31">
        <f>RDG!J44</f>
        <v>23</v>
      </c>
    </row>
    <row r="163" spans="4:11" ht="12.75">
      <c r="D163" s="4" t="s">
        <v>541</v>
      </c>
      <c r="E163" s="4">
        <v>2</v>
      </c>
      <c r="F163" s="4">
        <f>RDG!G45</f>
        <v>162</v>
      </c>
      <c r="G163" s="4">
        <f>IF(RDG!H45=0,"",RDG!H45)</f>
      </c>
      <c r="H163" s="30">
        <f t="shared" si="6"/>
        <v>878.04</v>
      </c>
      <c r="I163" s="4">
        <f t="shared" si="7"/>
        <v>0</v>
      </c>
      <c r="J163" s="31">
        <f>RDG!I45</f>
        <v>542</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12491.880000000001</v>
      </c>
      <c r="I165" s="4">
        <f t="shared" si="7"/>
        <v>0</v>
      </c>
      <c r="J165" s="31">
        <f>RDG!I47</f>
        <v>1271</v>
      </c>
      <c r="K165" s="31">
        <f>RDG!J47</f>
        <v>3173</v>
      </c>
    </row>
    <row r="166" spans="4:11" ht="12.75">
      <c r="D166" s="4" t="s">
        <v>541</v>
      </c>
      <c r="E166" s="4">
        <v>2</v>
      </c>
      <c r="F166" s="4">
        <f>RDG!G48</f>
        <v>165</v>
      </c>
      <c r="G166" s="4">
        <f>IF(RDG!H48=0,"",RDG!H48)</f>
      </c>
      <c r="H166" s="30">
        <f t="shared" si="6"/>
        <v>1778374.9500000002</v>
      </c>
      <c r="I166" s="4">
        <f t="shared" si="7"/>
        <v>0</v>
      </c>
      <c r="J166" s="31">
        <f>RDG!I48</f>
        <v>305761</v>
      </c>
      <c r="K166" s="31">
        <f>RDG!J48</f>
        <v>386021</v>
      </c>
    </row>
    <row r="167" spans="4:11" ht="12.75">
      <c r="D167" s="4" t="s">
        <v>541</v>
      </c>
      <c r="E167" s="4">
        <v>2</v>
      </c>
      <c r="F167" s="4">
        <f>RDG!G49</f>
        <v>166</v>
      </c>
      <c r="G167" s="4">
        <f>IF(RDG!H49=0,"",RDG!H49)</f>
      </c>
      <c r="H167" s="30">
        <f t="shared" si="6"/>
        <v>1734289.98</v>
      </c>
      <c r="I167" s="4">
        <f t="shared" si="7"/>
        <v>0</v>
      </c>
      <c r="J167" s="31">
        <f>RDG!I49</f>
        <v>303771</v>
      </c>
      <c r="K167" s="31">
        <f>RDG!J49</f>
        <v>370491</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52311.840000000004</v>
      </c>
      <c r="I169" s="4">
        <f t="shared" si="7"/>
        <v>0</v>
      </c>
      <c r="J169" s="31">
        <f>RDG!I51</f>
        <v>182</v>
      </c>
      <c r="K169" s="31">
        <f>RDG!J51</f>
        <v>15478</v>
      </c>
    </row>
    <row r="170" spans="4:11" ht="12.75">
      <c r="D170" s="4" t="s">
        <v>541</v>
      </c>
      <c r="E170" s="4">
        <v>2</v>
      </c>
      <c r="F170" s="4">
        <f>RDG!G52</f>
        <v>169</v>
      </c>
      <c r="G170" s="4">
        <f>IF(RDG!H52=0,"",RDG!H52)</f>
      </c>
      <c r="H170" s="30">
        <f t="shared" si="6"/>
        <v>2937.2200000000003</v>
      </c>
      <c r="I170" s="4">
        <f t="shared" si="7"/>
        <v>0</v>
      </c>
      <c r="J170" s="31">
        <f>RDG!I52</f>
        <v>1634</v>
      </c>
      <c r="K170" s="31">
        <f>RDG!J52</f>
        <v>52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299.28</v>
      </c>
      <c r="I173" s="4">
        <f t="shared" si="7"/>
        <v>0</v>
      </c>
      <c r="J173" s="31">
        <f>RDG!I55</f>
        <v>174</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33512381.729999997</v>
      </c>
      <c r="I178" s="4">
        <f t="shared" si="7"/>
        <v>0</v>
      </c>
      <c r="J178" s="31">
        <f>RDG!I60</f>
        <v>6405197</v>
      </c>
      <c r="K178" s="31">
        <f>RDG!J60</f>
        <v>6264176</v>
      </c>
    </row>
    <row r="179" spans="4:11" ht="12.75">
      <c r="D179" s="4" t="s">
        <v>541</v>
      </c>
      <c r="E179" s="4">
        <v>2</v>
      </c>
      <c r="F179" s="4">
        <f>RDG!G61</f>
        <v>178</v>
      </c>
      <c r="G179" s="4">
        <f>IF(RDG!H61=0,"",RDG!H61)</f>
      </c>
      <c r="H179" s="30">
        <f t="shared" si="6"/>
        <v>44829273.3</v>
      </c>
      <c r="I179" s="4">
        <f t="shared" si="7"/>
        <v>0</v>
      </c>
      <c r="J179" s="31">
        <f>RDG!I61</f>
        <v>8689129</v>
      </c>
      <c r="K179" s="31">
        <f>RDG!J61</f>
        <v>8247928</v>
      </c>
    </row>
    <row r="180" spans="4:11" ht="12.75">
      <c r="D180" s="4" t="s">
        <v>541</v>
      </c>
      <c r="E180" s="4">
        <v>2</v>
      </c>
      <c r="F180" s="4">
        <f>RDG!G62</f>
        <v>179</v>
      </c>
      <c r="G180" s="4">
        <f>IF(RDG!H62=0,"",RDG!H62)</f>
      </c>
      <c r="H180" s="30">
        <f t="shared" si="6"/>
        <v>-11190070.44</v>
      </c>
      <c r="I180" s="4">
        <f t="shared" si="7"/>
        <v>0</v>
      </c>
      <c r="J180" s="31">
        <f>RDG!I62</f>
        <v>-2283932</v>
      </c>
      <c r="K180" s="31">
        <f>RDG!J62</f>
        <v>-1983752</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11315099.16</v>
      </c>
      <c r="I182" s="4">
        <f t="shared" si="7"/>
        <v>0</v>
      </c>
      <c r="J182" s="31">
        <f>RDG!I64</f>
        <v>2283932</v>
      </c>
      <c r="K182" s="31">
        <f>RDG!J64</f>
        <v>1983752</v>
      </c>
    </row>
    <row r="183" spans="4:11" ht="12.75">
      <c r="D183" s="4" t="s">
        <v>541</v>
      </c>
      <c r="E183" s="4">
        <v>2</v>
      </c>
      <c r="F183" s="4">
        <f>RDG!G65</f>
        <v>182</v>
      </c>
      <c r="G183" s="4">
        <f>IF(RDG!H65=0,"",RDG!H65)</f>
      </c>
      <c r="H183" s="30">
        <f t="shared" si="6"/>
        <v>860.8600000000079</v>
      </c>
      <c r="I183" s="4">
        <f t="shared" si="7"/>
        <v>0</v>
      </c>
      <c r="J183" s="31">
        <f>RDG!I65</f>
        <v>22337</v>
      </c>
      <c r="K183" s="31">
        <f>RDG!J65</f>
        <v>-10932</v>
      </c>
    </row>
    <row r="184" spans="4:11" ht="12.75">
      <c r="D184" s="4" t="s">
        <v>541</v>
      </c>
      <c r="E184" s="4">
        <v>2</v>
      </c>
      <c r="F184" s="4">
        <f>RDG!G66</f>
        <v>183</v>
      </c>
      <c r="G184" s="4">
        <f>IF(RDG!H66=0,"",RDG!H66)</f>
      </c>
      <c r="H184" s="30">
        <f t="shared" si="6"/>
        <v>-11440993.469999999</v>
      </c>
      <c r="I184" s="4">
        <f t="shared" si="7"/>
        <v>0</v>
      </c>
      <c r="J184" s="31">
        <f>RDG!I66</f>
        <v>-2306269</v>
      </c>
      <c r="K184" s="31">
        <f>RDG!J66</f>
        <v>-1972820</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11566031.649999999</v>
      </c>
      <c r="I186" s="4">
        <f t="shared" si="7"/>
        <v>0</v>
      </c>
      <c r="J186" s="31">
        <f>RDG!I68</f>
        <v>2306269</v>
      </c>
      <c r="K186" s="31">
        <f>RDG!J68</f>
        <v>1972820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-12628856.18</v>
      </c>
      <c r="I203" s="4">
        <f t="shared" si="9"/>
        <v>0</v>
      </c>
      <c r="J203" s="31">
        <f>RDG!I89</f>
        <v>-2306269</v>
      </c>
      <c r="K203" s="31">
        <f>RDG!J89</f>
        <v>-1972820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-13379085.26</v>
      </c>
      <c r="I215" s="4">
        <f t="shared" si="9"/>
        <v>0</v>
      </c>
      <c r="J215" s="31">
        <f>RDG!I101</f>
        <v>-2306269</v>
      </c>
      <c r="K215" s="31">
        <f>RDG!J101</f>
        <v>-1972820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14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tabSelected="1"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AGM d.o.o.</v>
      </c>
      <c r="X2" s="209" t="s">
        <v>207</v>
      </c>
      <c r="Y2" s="231">
        <f>IF(RefStr!C54&lt;&gt;"",RefStr!C54,"")</f>
        <v>100</v>
      </c>
      <c r="Z2" s="209" t="s">
        <v>2325</v>
      </c>
      <c r="AA2" s="231">
        <f>IF(RefStr!B64="","",RefStr!B64)</f>
      </c>
    </row>
    <row r="3" spans="1:27" ht="13.5" customHeight="1">
      <c r="A3" s="496" t="s">
        <v>2471</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2</v>
      </c>
      <c r="T3" s="211" t="s">
        <v>777</v>
      </c>
      <c r="U3" s="232" t="str">
        <f>RefStr!L21</f>
        <v>76394522236</v>
      </c>
      <c r="V3" s="211" t="s">
        <v>2354</v>
      </c>
      <c r="W3" s="232">
        <f>RefStr!C31</f>
        <v>10000</v>
      </c>
      <c r="X3" s="211" t="s">
        <v>208</v>
      </c>
      <c r="Y3" s="232">
        <f>IF(RefStr!F54&lt;&gt;"",RefStr!F54,"")</f>
        <v>0</v>
      </c>
      <c r="Z3" s="211" t="s">
        <v>2326</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2717</v>
      </c>
      <c r="U4" s="232" t="str">
        <f>RefStr!C27</f>
        <v>37620818018</v>
      </c>
      <c r="V4" s="211" t="s">
        <v>2355</v>
      </c>
      <c r="W4" s="232" t="str">
        <f>RefStr!F31</f>
        <v>Zagreb</v>
      </c>
      <c r="X4" s="234" t="s">
        <v>222</v>
      </c>
      <c r="Y4" s="235" t="str">
        <f>RefStr!I68</f>
        <v>DA</v>
      </c>
      <c r="Z4" s="211" t="s">
        <v>2569</v>
      </c>
      <c r="AA4" s="232" t="str">
        <f>RefStr!N19</f>
        <v>MSFI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2</v>
      </c>
      <c r="T5" s="211" t="s">
        <v>2351</v>
      </c>
      <c r="U5" s="232" t="str">
        <f>RefStr!H27</f>
        <v>04123506</v>
      </c>
      <c r="V5" s="211" t="s">
        <v>2356</v>
      </c>
      <c r="W5" s="232" t="str">
        <f>RefStr!C33</f>
        <v>Mihanovićeva 28</v>
      </c>
      <c r="X5" s="234" t="s">
        <v>2516</v>
      </c>
      <c r="Y5" s="235" t="str">
        <f>RefStr!I62</f>
        <v>DA</v>
      </c>
      <c r="Z5" s="211" t="s">
        <v>691</v>
      </c>
      <c r="AA5" s="232" t="str">
        <f>RefStr!M46</f>
        <v>03677702</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2352</v>
      </c>
      <c r="U6" s="232" t="str">
        <f>RefStr!M27</f>
        <v>080879458</v>
      </c>
      <c r="V6" s="211" t="s">
        <v>2567</v>
      </c>
      <c r="W6" s="232" t="str">
        <f>RefStr!L35</f>
        <v>01/4856-309</v>
      </c>
      <c r="X6" s="211" t="s">
        <v>2513</v>
      </c>
      <c r="Y6" s="232" t="str">
        <f>RefStr!C68</f>
        <v>Sandra Klisović</v>
      </c>
      <c r="Z6" s="211" t="s">
        <v>1415</v>
      </c>
      <c r="AA6" s="232">
        <f>RefStr!C46</f>
        <v>0</v>
      </c>
    </row>
    <row r="7" spans="1:27" ht="13.5" customHeight="1">
      <c r="A7" s="498"/>
      <c r="B7" s="499"/>
      <c r="C7" s="499"/>
      <c r="D7" s="499"/>
      <c r="E7" s="499"/>
      <c r="F7" s="499"/>
      <c r="G7" s="499"/>
      <c r="H7" s="499"/>
      <c r="I7" s="222" t="s">
        <v>16</v>
      </c>
      <c r="J7" s="224">
        <f>SUM(M12:M120)</f>
        <v>0</v>
      </c>
      <c r="N7" s="208" t="s">
        <v>542</v>
      </c>
      <c r="O7" s="211">
        <f>PK!AA1</f>
        <v>0</v>
      </c>
      <c r="P7" s="212">
        <f>PK!AA2</f>
        <v>0</v>
      </c>
      <c r="Q7" s="232">
        <f>PK!AA3</f>
        <v>0</v>
      </c>
      <c r="R7" s="211" t="s">
        <v>2568</v>
      </c>
      <c r="S7" s="232">
        <f>IF(RefStr!C44&lt;&gt;"",IF(ISERROR(INT(RefStr!C44)),0,RefStr!C44),0)</f>
        <v>2</v>
      </c>
      <c r="T7" s="211" t="s">
        <v>1862</v>
      </c>
      <c r="U7" s="232">
        <f>RefStr!C7</f>
        <v>5</v>
      </c>
      <c r="V7" s="211" t="s">
        <v>1193</v>
      </c>
      <c r="W7" s="232" t="str">
        <f>TRIM(UPPER(RefStr!C35))</f>
        <v>AGM@AGM.HR</v>
      </c>
      <c r="X7" s="211" t="s">
        <v>2514</v>
      </c>
      <c r="Y7" s="232" t="str">
        <f>RefStr!C70</f>
        <v>01/4856-309</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2573</v>
      </c>
      <c r="W8" s="232" t="str">
        <f>RefStr!C42</f>
        <v>5811</v>
      </c>
      <c r="X8" s="211" t="s">
        <v>2515</v>
      </c>
      <c r="Y8" s="232" t="str">
        <f>TRIM(UPPER(RefStr!C72))</f>
        <v>SANDRA.KLISOVIC@AGM.HR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26</v>
      </c>
      <c r="Q9" s="231">
        <f>RefStr!F58</f>
        <v>26</v>
      </c>
      <c r="R9" s="211" t="s">
        <v>1860</v>
      </c>
      <c r="S9" s="232">
        <f>IF(RefStr!F4&lt;&gt;"",RefStr!F4,0)</f>
        <v>43830</v>
      </c>
      <c r="T9" s="211" t="s">
        <v>1821</v>
      </c>
      <c r="U9" s="232">
        <f>RefStr!C39</f>
        <v>133</v>
      </c>
      <c r="V9" s="211" t="s">
        <v>1414</v>
      </c>
      <c r="W9" s="232" t="str">
        <f>RefStr!D42</f>
        <v>Izdavanje knjiga</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27</v>
      </c>
      <c r="Q10" s="233">
        <f>RefStr!F56</f>
        <v>24</v>
      </c>
      <c r="R10" s="213" t="s">
        <v>1863</v>
      </c>
      <c r="S10" s="233">
        <f>RefStr!C23</f>
        <v>1</v>
      </c>
      <c r="T10" s="213" t="s">
        <v>2572</v>
      </c>
      <c r="U10" s="233" t="str">
        <f>RefStr!D39</f>
        <v>Zagreb</v>
      </c>
      <c r="V10" s="240"/>
      <c r="W10" s="241"/>
      <c r="X10" s="242" t="s">
        <v>1974</v>
      </c>
      <c r="Y10" s="243">
        <f>RefStr!F12</f>
        <v>2019</v>
      </c>
      <c r="Z10" s="213" t="s">
        <v>209</v>
      </c>
      <c r="AA10" s="233" t="str">
        <f>RefStr!A75</f>
        <v>Stjepan Bekavac</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2511</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2328</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2665</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2665</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2895</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2894</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2905</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C:\Users\Sandra\Desktop\deskop\GFI_POD 2019\[GFI-POD 2019_Javna objava.xls]Bilanca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row r="154" ht="9.7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C23" sqref="C23"/>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2174</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2727</v>
      </c>
      <c r="F12" s="329">
        <v>2019</v>
      </c>
      <c r="G12" s="330"/>
      <c r="H12" s="322" t="s">
        <v>2105</v>
      </c>
      <c r="I12" s="323"/>
      <c r="J12" s="323"/>
      <c r="K12" s="156"/>
      <c r="L12" s="156"/>
      <c r="M12" s="156"/>
      <c r="N12" s="156"/>
      <c r="P12" s="54" t="s">
        <v>2352</v>
      </c>
      <c r="Q12" s="55">
        <f>INT(VALUE(H27))/10</f>
        <v>412350.6</v>
      </c>
    </row>
    <row r="13" spans="4:17" ht="9.75" customHeight="1">
      <c r="D13" s="156"/>
      <c r="E13" s="162"/>
      <c r="H13" s="27"/>
      <c r="I13" s="163"/>
      <c r="J13" s="163"/>
      <c r="K13" s="156"/>
      <c r="L13" s="156"/>
      <c r="M13" s="156"/>
      <c r="N13" s="156"/>
      <c r="P13" s="54" t="s">
        <v>2352</v>
      </c>
      <c r="Q13" s="55">
        <f>INT(VALUE(M27))/50</f>
        <v>1617589.16</v>
      </c>
    </row>
    <row r="14" spans="1:17" ht="15">
      <c r="A14" s="321" t="s">
        <v>2713</v>
      </c>
      <c r="B14" s="321"/>
      <c r="C14" s="321"/>
      <c r="D14" s="164"/>
      <c r="E14" s="165"/>
      <c r="F14" s="319"/>
      <c r="G14" s="320"/>
      <c r="H14" s="320"/>
      <c r="I14" s="156"/>
      <c r="J14" s="327" t="s">
        <v>2100</v>
      </c>
      <c r="K14" s="328"/>
      <c r="L14" s="328"/>
      <c r="M14" s="328"/>
      <c r="N14" s="328"/>
      <c r="P14" s="54" t="s">
        <v>2717</v>
      </c>
      <c r="Q14" s="55">
        <f>INT(VALUE(C27))/100</f>
        <v>376208180.18</v>
      </c>
    </row>
    <row r="15" spans="1:17" ht="19.5" customHeight="1">
      <c r="A15" s="324">
        <f>Skriveni!B59</f>
        <v>1501212241.5900002</v>
      </c>
      <c r="B15" s="325"/>
      <c r="C15" s="326"/>
      <c r="D15" s="60"/>
      <c r="E15" s="60"/>
      <c r="F15" s="60"/>
      <c r="G15" s="60"/>
      <c r="H15" s="60"/>
      <c r="I15" s="60"/>
      <c r="J15" s="60"/>
      <c r="K15" s="60"/>
      <c r="L15" s="60"/>
      <c r="M15" s="60"/>
      <c r="N15" s="60"/>
      <c r="P15" s="54" t="s">
        <v>1817</v>
      </c>
      <c r="Q15" s="55">
        <f>LEN(Skriveni!B9)</f>
        <v>10</v>
      </c>
    </row>
    <row r="16" spans="4:17" ht="12.75" customHeight="1">
      <c r="D16" s="60"/>
      <c r="E16" s="60"/>
      <c r="F16" s="60"/>
      <c r="G16" s="60"/>
      <c r="H16" s="60"/>
      <c r="I16" s="60"/>
      <c r="P16" s="54" t="s">
        <v>1818</v>
      </c>
      <c r="Q16" s="55">
        <f>INT(VALUE(C31))/100</f>
        <v>100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2715</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2965</v>
      </c>
      <c r="P19" s="54" t="s">
        <v>1820</v>
      </c>
      <c r="Q19" s="55">
        <f>LEN(Skriveni!B12)</f>
        <v>15</v>
      </c>
    </row>
    <row r="20" spans="1:17" ht="4.5" customHeight="1">
      <c r="A20" s="13"/>
      <c r="B20" s="47"/>
      <c r="C20" s="34"/>
      <c r="I20" s="34"/>
      <c r="M20" s="146"/>
      <c r="N20" s="166"/>
      <c r="Q20" s="55"/>
    </row>
    <row r="21" spans="1:17" ht="15" customHeight="1">
      <c r="A21" s="272" t="s">
        <v>2108</v>
      </c>
      <c r="B21" s="280"/>
      <c r="C21" s="36" t="s">
        <v>2618</v>
      </c>
      <c r="D21" s="193" t="s">
        <v>2111</v>
      </c>
      <c r="E21" s="282" t="s">
        <v>2109</v>
      </c>
      <c r="F21" s="298"/>
      <c r="G21" s="298"/>
      <c r="H21" s="333"/>
      <c r="I21" s="36" t="s">
        <v>2138</v>
      </c>
      <c r="J21" s="374" t="s">
        <v>2110</v>
      </c>
      <c r="K21" s="373"/>
      <c r="L21" s="274" t="s">
        <v>2952</v>
      </c>
      <c r="M21" s="342"/>
      <c r="N21" s="277"/>
      <c r="P21" s="54" t="s">
        <v>1821</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2916</v>
      </c>
      <c r="Q23" s="55">
        <f>INT(VALUE(C42))</f>
        <v>5811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2405</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2714</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10000</v>
      </c>
      <c r="D31" s="335" t="s">
        <v>693</v>
      </c>
      <c r="E31" s="336"/>
      <c r="F31" s="316" t="s">
        <v>1173</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133</v>
      </c>
      <c r="D39" s="348" t="str">
        <f>IF(C39="","Šifra grada/općine nije upisana",IF(ISNA(LOOKUP(C39,A177:A732,A177:A732)),"Šifra grada/općine ne postoji",IF(LOOKUP(C39,A177:A732,A177:A732)&lt;&gt;C39,"Šifra grada/općine ne postoji",LOOKUP(C39,A177:A732,B177:B732))))</f>
        <v>Zagreb</v>
      </c>
      <c r="E39" s="349"/>
      <c r="F39" s="349"/>
      <c r="G39" s="349"/>
      <c r="H39" s="272" t="s">
        <v>2221</v>
      </c>
      <c r="I39" s="344"/>
      <c r="J39" s="58">
        <f>IF(C39&gt;0,LOOKUP(C39,A177:A732,C177:C732),"")</f>
        <v>21</v>
      </c>
      <c r="K39" s="351" t="str">
        <f>IF(J39="","Treba prvo upisati šifru grada/općine",LOOKUP(J39,A153:A173,B153:B173))</f>
        <v>GRAD ZAGREB</v>
      </c>
      <c r="L39" s="351"/>
      <c r="M39" s="351"/>
      <c r="N39" s="351"/>
      <c r="P39" s="54" t="s">
        <v>1826</v>
      </c>
      <c r="Q39" s="55">
        <f>C56+2*F56+3*C58+4*F58</f>
        <v>257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2368</v>
      </c>
      <c r="B42" s="283"/>
      <c r="C42" s="41" t="s">
        <v>2544</v>
      </c>
      <c r="D42" s="353" t="str">
        <f>IF(C42="","Šifra NKD-a nije upisana",IF(ISNA(LOOKUP(C42,A736:A1351,A736:A1351)),"Šifra NKD-a ne postoji",IF(LOOKUP(C42,A736:A1351,A736:A1351)&lt;&gt;C42,"Šifra NKD-a ne postoji",LOOKUP(C42,A736:A1351,B736:B1351))))</f>
        <v>Izdavanje knjiga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2</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357"/>
      <c r="F44" s="357"/>
      <c r="G44" s="357"/>
      <c r="H44" s="357"/>
      <c r="I44" s="357"/>
      <c r="J44" s="357"/>
      <c r="K44" s="357"/>
      <c r="L44" s="357"/>
      <c r="M44" s="357"/>
      <c r="N44" s="357"/>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t="s">
        <v>2961</v>
      </c>
      <c r="N46" s="364"/>
      <c r="P46" s="56" t="s">
        <v>1828</v>
      </c>
      <c r="Q46" s="57">
        <f>INT(VALUE(L21))/100</f>
        <v>763945222.36</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2716</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2575</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2568</v>
      </c>
      <c r="Q54" s="54">
        <f>C44/10</f>
        <v>0.2</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27</v>
      </c>
      <c r="D56" s="270" t="s">
        <v>2897</v>
      </c>
      <c r="E56" s="380"/>
      <c r="F56" s="44">
        <v>24</v>
      </c>
      <c r="G56" s="270" t="s">
        <v>2898</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2225</v>
      </c>
      <c r="B58" s="269"/>
      <c r="C58" s="44">
        <v>26</v>
      </c>
      <c r="D58" s="278" t="s">
        <v>2897</v>
      </c>
      <c r="E58" s="278"/>
      <c r="F58" s="44">
        <v>26</v>
      </c>
      <c r="G58" s="278" t="s">
        <v>2898</v>
      </c>
      <c r="H58" s="278"/>
      <c r="I58" s="5" t="str">
        <f>IF(OR(NT_I!Q1&lt;&gt;0,NT_D!Q1&lt;&gt;0),"DA","NE")</f>
        <v>NE</v>
      </c>
      <c r="J58" s="350" t="s">
        <v>1453</v>
      </c>
      <c r="K58" s="312"/>
      <c r="L58" s="312"/>
      <c r="M58" s="312"/>
      <c r="N58" s="312"/>
      <c r="O58" s="186"/>
      <c r="P58" s="54" t="s">
        <v>1973</v>
      </c>
      <c r="Q58" s="54">
        <f>IF(ISERROR(INT(M46)),LEN(M46),INT(M46)/100)</f>
        <v>36777.02</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2897</v>
      </c>
      <c r="E60" s="278"/>
      <c r="F60" s="44">
        <v>12</v>
      </c>
      <c r="G60" s="278" t="s">
        <v>2898</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58" t="s">
        <v>2718</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59" t="s">
        <v>2116</v>
      </c>
      <c r="D64" s="298"/>
      <c r="E64" s="298"/>
      <c r="F64" s="298"/>
      <c r="G64" s="156"/>
      <c r="H64" s="156"/>
      <c r="I64" s="226" t="s">
        <v>2618</v>
      </c>
      <c r="J64" s="358" t="s">
        <v>2719</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2224</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2574</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158" operator="equal" stopIfTrue="1">
      <formula>"DA"</formula>
    </cfRule>
  </conditionalFormatting>
  <conditionalFormatting sqref="F4:G4">
    <cfRule type="cellIs" priority="2" dxfId="155" operator="lessThan" stopIfTrue="1">
      <formula>$C$4</formula>
    </cfRule>
  </conditionalFormatting>
  <conditionalFormatting sqref="D44:N44">
    <cfRule type="cellIs" priority="5" dxfId="147" operator="equal" stopIfTrue="1">
      <formula>"Upisana je nepostojeća ili neprepoznatljiva šifra statusa autonomnosti"</formula>
    </cfRule>
  </conditionalFormatting>
  <conditionalFormatting sqref="N25 D17:N18 D26:N26">
    <cfRule type="cellIs" priority="6" dxfId="147" operator="equal" stopIfTrue="1">
      <formula>"Upisana je nepostojeća ili neprepoznatljiva vrsta izvještaja"</formula>
    </cfRule>
  </conditionalFormatting>
  <conditionalFormatting sqref="C20 D19 I20">
    <cfRule type="cellIs" priority="7" dxfId="147" operator="equal" stopIfTrue="1">
      <formula>"Nepostojeća ili neprepoznatljiva svrha predaje"</formula>
    </cfRule>
  </conditionalFormatting>
  <conditionalFormatting sqref="D42:N42">
    <cfRule type="cellIs" priority="8" dxfId="147" operator="equal" stopIfTrue="1">
      <formula>"Šifra NKD-a ne postoji"</formula>
    </cfRule>
  </conditionalFormatting>
  <conditionalFormatting sqref="E51:G51 D50:D51">
    <cfRule type="cellIs" priority="9" dxfId="147" operator="equal" stopIfTrue="1">
      <formula>"Nepostojeća oznaka veličine"</formula>
    </cfRule>
  </conditionalFormatting>
  <conditionalFormatting sqref="D52:H52">
    <cfRule type="cellIs" priority="10" dxfId="147" operator="equal" stopIfTrue="1">
      <formula>"Nepostojeća oznaka vlasništva"</formula>
    </cfRule>
  </conditionalFormatting>
  <conditionalFormatting sqref="D7:N7">
    <cfRule type="cellIs" priority="11" dxfId="147" operator="equal" stopIfTrue="1">
      <formula>"Upisana je nepostojeća ili neprepoznatljiva vrsta poslovnog subjekta"</formula>
    </cfRule>
  </conditionalFormatting>
  <conditionalFormatting sqref="D39:G39">
    <cfRule type="cellIs" priority="12" dxfId="147"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90" t="s">
        <v>138</v>
      </c>
      <c r="B2" s="391"/>
      <c r="C2" s="391"/>
      <c r="D2" s="391"/>
      <c r="E2" s="391"/>
      <c r="F2" s="391"/>
      <c r="G2" s="391"/>
      <c r="H2" s="391"/>
      <c r="I2" s="392"/>
      <c r="J2" s="388" t="s">
        <v>2589</v>
      </c>
      <c r="Q2" s="74">
        <f>IF(OR(MIN(I9:I133)&lt;0,MAX(I9:I133)&gt;0),1,0)</f>
        <v>1</v>
      </c>
      <c r="R2" s="73" t="s">
        <v>2585</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2586</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37620818018; AGM d.o.o.</v>
      </c>
      <c r="B5" s="397"/>
      <c r="C5" s="397"/>
      <c r="D5" s="397"/>
      <c r="E5" s="397"/>
      <c r="F5" s="397"/>
      <c r="G5" s="397"/>
      <c r="H5" s="397"/>
      <c r="I5" s="397"/>
      <c r="J5" s="398"/>
      <c r="Q5" s="2">
        <f>IF(I96&lt;&gt;0,1,0)</f>
        <v>0</v>
      </c>
      <c r="R5" s="73" t="s">
        <v>2587</v>
      </c>
    </row>
    <row r="6" spans="1:18" ht="24.75" customHeight="1" thickBot="1">
      <c r="A6" s="399" t="s">
        <v>719</v>
      </c>
      <c r="B6" s="400"/>
      <c r="C6" s="400"/>
      <c r="D6" s="400"/>
      <c r="E6" s="400"/>
      <c r="F6" s="400"/>
      <c r="G6" s="102" t="s">
        <v>799</v>
      </c>
      <c r="H6" s="102" t="s">
        <v>1968</v>
      </c>
      <c r="I6" s="102" t="s">
        <v>2291</v>
      </c>
      <c r="J6" s="103" t="s">
        <v>2292</v>
      </c>
      <c r="Q6" s="2">
        <f>IF(J96&lt;&gt;0,1,0)</f>
        <v>0</v>
      </c>
      <c r="R6" s="73" t="s">
        <v>2588</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324907</v>
      </c>
      <c r="J10" s="70">
        <f>J11+J18+J28+J39+J44</f>
        <v>839161</v>
      </c>
    </row>
    <row r="11" spans="1:10" ht="13.5" customHeight="1">
      <c r="A11" s="384" t="s">
        <v>1850</v>
      </c>
      <c r="B11" s="384"/>
      <c r="C11" s="384"/>
      <c r="D11" s="384"/>
      <c r="E11" s="384"/>
      <c r="F11" s="384"/>
      <c r="G11" s="19">
        <v>3</v>
      </c>
      <c r="H11" s="20"/>
      <c r="I11" s="70">
        <f>SUM(I12:I17)</f>
        <v>0</v>
      </c>
      <c r="J11" s="70">
        <f>SUM(J12:J17)</f>
        <v>490347</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v>490347</v>
      </c>
    </row>
    <row r="18" spans="1:10" ht="13.5" customHeight="1">
      <c r="A18" s="384" t="s">
        <v>731</v>
      </c>
      <c r="B18" s="384"/>
      <c r="C18" s="384"/>
      <c r="D18" s="384"/>
      <c r="E18" s="384"/>
      <c r="F18" s="384"/>
      <c r="G18" s="19">
        <v>10</v>
      </c>
      <c r="H18" s="20"/>
      <c r="I18" s="70">
        <f>SUM(I19:I27)</f>
        <v>62639</v>
      </c>
      <c r="J18" s="70">
        <f>SUM(J19:J27)</f>
        <v>78900</v>
      </c>
    </row>
    <row r="19" spans="1:10" ht="13.5" customHeight="1">
      <c r="A19" s="383" t="s">
        <v>2175</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2176</v>
      </c>
      <c r="B21" s="383"/>
      <c r="C21" s="383"/>
      <c r="D21" s="383"/>
      <c r="E21" s="383"/>
      <c r="F21" s="383"/>
      <c r="G21" s="19">
        <v>13</v>
      </c>
      <c r="H21" s="20"/>
      <c r="I21" s="71">
        <v>18063</v>
      </c>
      <c r="J21" s="71">
        <v>20391</v>
      </c>
    </row>
    <row r="22" spans="1:10" ht="13.5" customHeight="1">
      <c r="A22" s="383" t="s">
        <v>2289</v>
      </c>
      <c r="B22" s="383"/>
      <c r="C22" s="383"/>
      <c r="D22" s="383"/>
      <c r="E22" s="383"/>
      <c r="F22" s="383"/>
      <c r="G22" s="19">
        <v>14</v>
      </c>
      <c r="H22" s="20"/>
      <c r="I22" s="71">
        <v>28411</v>
      </c>
      <c r="J22" s="71">
        <v>25344</v>
      </c>
    </row>
    <row r="23" spans="1:10" ht="13.5" customHeight="1">
      <c r="A23" s="383" t="s">
        <v>2290</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v>16165</v>
      </c>
      <c r="J26" s="71">
        <v>33165</v>
      </c>
    </row>
    <row r="27" spans="1:10" ht="13.5" customHeight="1">
      <c r="A27" s="383" t="s">
        <v>1085</v>
      </c>
      <c r="B27" s="383"/>
      <c r="C27" s="383"/>
      <c r="D27" s="383"/>
      <c r="E27" s="383"/>
      <c r="F27" s="383"/>
      <c r="G27" s="19">
        <v>19</v>
      </c>
      <c r="H27" s="20"/>
      <c r="I27" s="71"/>
      <c r="J27" s="71"/>
    </row>
    <row r="28" spans="1:10" ht="13.5" customHeight="1">
      <c r="A28" s="384" t="s">
        <v>2643</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2644</v>
      </c>
      <c r="B39" s="384"/>
      <c r="C39" s="384"/>
      <c r="D39" s="384"/>
      <c r="E39" s="384"/>
      <c r="F39" s="384"/>
      <c r="G39" s="19">
        <v>31</v>
      </c>
      <c r="H39" s="20"/>
      <c r="I39" s="70">
        <f>SUM(I40:I43)</f>
        <v>194803</v>
      </c>
      <c r="J39" s="70">
        <f>SUM(J40:J43)</f>
        <v>191517</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v>194803</v>
      </c>
      <c r="J42" s="71">
        <v>182795</v>
      </c>
    </row>
    <row r="43" spans="1:10" ht="13.5" customHeight="1">
      <c r="A43" s="383" t="s">
        <v>1037</v>
      </c>
      <c r="B43" s="383"/>
      <c r="C43" s="383"/>
      <c r="D43" s="383"/>
      <c r="E43" s="383"/>
      <c r="F43" s="383"/>
      <c r="G43" s="19">
        <v>35</v>
      </c>
      <c r="H43" s="20"/>
      <c r="I43" s="71"/>
      <c r="J43" s="71">
        <v>8722</v>
      </c>
    </row>
    <row r="44" spans="1:10" ht="13.5" customHeight="1">
      <c r="A44" s="384" t="s">
        <v>655</v>
      </c>
      <c r="B44" s="384"/>
      <c r="C44" s="384"/>
      <c r="D44" s="384"/>
      <c r="E44" s="384"/>
      <c r="F44" s="384"/>
      <c r="G44" s="19">
        <v>36</v>
      </c>
      <c r="H44" s="20"/>
      <c r="I44" s="71">
        <v>67465</v>
      </c>
      <c r="J44" s="71">
        <v>78397</v>
      </c>
    </row>
    <row r="45" spans="1:10" ht="13.5" customHeight="1">
      <c r="A45" s="381" t="s">
        <v>2645</v>
      </c>
      <c r="B45" s="381"/>
      <c r="C45" s="381"/>
      <c r="D45" s="381"/>
      <c r="E45" s="381"/>
      <c r="F45" s="381"/>
      <c r="G45" s="19">
        <v>37</v>
      </c>
      <c r="H45" s="20"/>
      <c r="I45" s="70">
        <f>I46+I54+I61+I71</f>
        <v>6861838</v>
      </c>
      <c r="J45" s="70">
        <f>J46+J54+J61+J71</f>
        <v>6752337</v>
      </c>
    </row>
    <row r="46" spans="1:10" ht="13.5" customHeight="1">
      <c r="A46" s="384" t="s">
        <v>2646</v>
      </c>
      <c r="B46" s="384"/>
      <c r="C46" s="384"/>
      <c r="D46" s="384"/>
      <c r="E46" s="384"/>
      <c r="F46" s="384"/>
      <c r="G46" s="19">
        <v>38</v>
      </c>
      <c r="H46" s="20"/>
      <c r="I46" s="70">
        <f>SUM(I47:I53)</f>
        <v>5870685</v>
      </c>
      <c r="J46" s="70">
        <f>SUM(J47:J53)</f>
        <v>5945875</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v>449680</v>
      </c>
      <c r="J48" s="71">
        <v>382402</v>
      </c>
    </row>
    <row r="49" spans="1:10" ht="13.5" customHeight="1">
      <c r="A49" s="383" t="s">
        <v>972</v>
      </c>
      <c r="B49" s="383"/>
      <c r="C49" s="383"/>
      <c r="D49" s="383"/>
      <c r="E49" s="383"/>
      <c r="F49" s="383"/>
      <c r="G49" s="19">
        <v>41</v>
      </c>
      <c r="H49" s="20"/>
      <c r="I49" s="71">
        <v>4964886</v>
      </c>
      <c r="J49" s="71">
        <v>5019566</v>
      </c>
    </row>
    <row r="50" spans="1:10" ht="13.5" customHeight="1">
      <c r="A50" s="383" t="s">
        <v>973</v>
      </c>
      <c r="B50" s="383"/>
      <c r="C50" s="383"/>
      <c r="D50" s="383"/>
      <c r="E50" s="383"/>
      <c r="F50" s="383"/>
      <c r="G50" s="19">
        <v>42</v>
      </c>
      <c r="H50" s="20"/>
      <c r="I50" s="71">
        <v>456119</v>
      </c>
      <c r="J50" s="71">
        <v>543907</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2647</v>
      </c>
      <c r="B54" s="384"/>
      <c r="C54" s="384"/>
      <c r="D54" s="384"/>
      <c r="E54" s="384"/>
      <c r="F54" s="384"/>
      <c r="G54" s="19">
        <v>46</v>
      </c>
      <c r="H54" s="20"/>
      <c r="I54" s="70">
        <f>SUM(I55:I60)</f>
        <v>451469</v>
      </c>
      <c r="J54" s="70">
        <f>SUM(J55:J60)</f>
        <v>364679</v>
      </c>
    </row>
    <row r="55" spans="1:10" ht="13.5" customHeight="1">
      <c r="A55" s="383" t="s">
        <v>348</v>
      </c>
      <c r="B55" s="383"/>
      <c r="C55" s="383"/>
      <c r="D55" s="383"/>
      <c r="E55" s="383"/>
      <c r="F55" s="383"/>
      <c r="G55" s="19">
        <v>47</v>
      </c>
      <c r="H55" s="20"/>
      <c r="I55" s="71">
        <v>700</v>
      </c>
      <c r="J55" s="71">
        <v>350</v>
      </c>
    </row>
    <row r="56" spans="1:10" ht="13.5" customHeight="1">
      <c r="A56" s="383" t="s">
        <v>349</v>
      </c>
      <c r="B56" s="383"/>
      <c r="C56" s="383"/>
      <c r="D56" s="383"/>
      <c r="E56" s="383"/>
      <c r="F56" s="383"/>
      <c r="G56" s="19">
        <v>48</v>
      </c>
      <c r="H56" s="20"/>
      <c r="I56" s="71"/>
      <c r="J56" s="71"/>
    </row>
    <row r="57" spans="1:10" ht="13.5" customHeight="1">
      <c r="A57" s="383" t="s">
        <v>2635</v>
      </c>
      <c r="B57" s="383"/>
      <c r="C57" s="383"/>
      <c r="D57" s="383"/>
      <c r="E57" s="383"/>
      <c r="F57" s="383"/>
      <c r="G57" s="19">
        <v>49</v>
      </c>
      <c r="H57" s="20"/>
      <c r="I57" s="71">
        <v>437968</v>
      </c>
      <c r="J57" s="71">
        <v>360973</v>
      </c>
    </row>
    <row r="58" spans="1:10" ht="13.5" customHeight="1">
      <c r="A58" s="383" t="s">
        <v>350</v>
      </c>
      <c r="B58" s="383"/>
      <c r="C58" s="383"/>
      <c r="D58" s="383"/>
      <c r="E58" s="383"/>
      <c r="F58" s="383"/>
      <c r="G58" s="19">
        <v>50</v>
      </c>
      <c r="H58" s="20"/>
      <c r="I58" s="71">
        <v>926</v>
      </c>
      <c r="J58" s="71"/>
    </row>
    <row r="59" spans="1:10" ht="13.5" customHeight="1">
      <c r="A59" s="383" t="s">
        <v>351</v>
      </c>
      <c r="B59" s="383"/>
      <c r="C59" s="383"/>
      <c r="D59" s="383"/>
      <c r="E59" s="383"/>
      <c r="F59" s="383"/>
      <c r="G59" s="19">
        <v>51</v>
      </c>
      <c r="H59" s="20"/>
      <c r="I59" s="71">
        <v>11875</v>
      </c>
      <c r="J59" s="71">
        <v>3356</v>
      </c>
    </row>
    <row r="60" spans="1:10" ht="13.5" customHeight="1">
      <c r="A60" s="383" t="s">
        <v>2637</v>
      </c>
      <c r="B60" s="383"/>
      <c r="C60" s="383"/>
      <c r="D60" s="383"/>
      <c r="E60" s="383"/>
      <c r="F60" s="383"/>
      <c r="G60" s="19">
        <v>52</v>
      </c>
      <c r="H60" s="20"/>
      <c r="I60" s="71"/>
      <c r="J60" s="71"/>
    </row>
    <row r="61" spans="1:10" ht="13.5" customHeight="1">
      <c r="A61" s="384" t="s">
        <v>2648</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2394</v>
      </c>
      <c r="B71" s="384"/>
      <c r="C71" s="384"/>
      <c r="D71" s="384"/>
      <c r="E71" s="384"/>
      <c r="F71" s="384"/>
      <c r="G71" s="19">
        <v>63</v>
      </c>
      <c r="H71" s="20"/>
      <c r="I71" s="71">
        <v>539684</v>
      </c>
      <c r="J71" s="71">
        <v>441783</v>
      </c>
    </row>
    <row r="72" spans="1:10" ht="24.75" customHeight="1">
      <c r="A72" s="381" t="s">
        <v>1558</v>
      </c>
      <c r="B72" s="381"/>
      <c r="C72" s="381"/>
      <c r="D72" s="381"/>
      <c r="E72" s="381"/>
      <c r="F72" s="381"/>
      <c r="G72" s="19">
        <v>64</v>
      </c>
      <c r="H72" s="20"/>
      <c r="I72" s="71">
        <v>5173</v>
      </c>
      <c r="J72" s="71">
        <v>30477</v>
      </c>
    </row>
    <row r="73" spans="1:10" ht="13.5" customHeight="1">
      <c r="A73" s="381" t="s">
        <v>2649</v>
      </c>
      <c r="B73" s="381"/>
      <c r="C73" s="381"/>
      <c r="D73" s="381"/>
      <c r="E73" s="381"/>
      <c r="F73" s="381"/>
      <c r="G73" s="19">
        <v>65</v>
      </c>
      <c r="H73" s="20"/>
      <c r="I73" s="70">
        <f>I9+I10+I45+I72</f>
        <v>7191918</v>
      </c>
      <c r="J73" s="70">
        <f>J9+J10+J45+J72</f>
        <v>7621975</v>
      </c>
    </row>
    <row r="74" spans="1:10" ht="13.5" customHeight="1">
      <c r="A74" s="382" t="s">
        <v>257</v>
      </c>
      <c r="B74" s="382"/>
      <c r="C74" s="382"/>
      <c r="D74" s="382"/>
      <c r="E74" s="382"/>
      <c r="F74" s="382"/>
      <c r="G74" s="21">
        <v>66</v>
      </c>
      <c r="H74" s="22"/>
      <c r="I74" s="72">
        <v>1282525</v>
      </c>
      <c r="J74" s="72">
        <v>1097999</v>
      </c>
    </row>
    <row r="75" spans="1:10" ht="13.5" customHeight="1">
      <c r="A75" s="385" t="s">
        <v>663</v>
      </c>
      <c r="B75" s="386"/>
      <c r="C75" s="386"/>
      <c r="D75" s="386"/>
      <c r="E75" s="386"/>
      <c r="F75" s="386"/>
      <c r="G75" s="386"/>
      <c r="H75" s="386"/>
      <c r="I75" s="386"/>
      <c r="J75" s="386"/>
    </row>
    <row r="76" spans="1:12" ht="13.5" customHeight="1">
      <c r="A76" s="381" t="s">
        <v>2650</v>
      </c>
      <c r="B76" s="381"/>
      <c r="C76" s="381"/>
      <c r="D76" s="381"/>
      <c r="E76" s="381"/>
      <c r="F76" s="381"/>
      <c r="G76" s="19">
        <v>67</v>
      </c>
      <c r="H76" s="20"/>
      <c r="I76" s="70">
        <f>I77+I78+I79+I85+I86+I90+I93+I96</f>
        <v>-5206808</v>
      </c>
      <c r="J76" s="70">
        <f>J77+J78+J79+J85+J86+J90+J93+J96</f>
        <v>-7179627</v>
      </c>
      <c r="L76" s="2" t="s">
        <v>2590</v>
      </c>
    </row>
    <row r="77" spans="1:10" ht="13.5" customHeight="1">
      <c r="A77" s="384" t="s">
        <v>935</v>
      </c>
      <c r="B77" s="384"/>
      <c r="C77" s="384"/>
      <c r="D77" s="384"/>
      <c r="E77" s="384"/>
      <c r="F77" s="384"/>
      <c r="G77" s="19">
        <v>68</v>
      </c>
      <c r="H77" s="20"/>
      <c r="I77" s="71">
        <v>5128200</v>
      </c>
      <c r="J77" s="71">
        <v>5128200</v>
      </c>
    </row>
    <row r="78" spans="1:12" ht="13.5" customHeight="1">
      <c r="A78" s="384" t="s">
        <v>936</v>
      </c>
      <c r="B78" s="384"/>
      <c r="C78" s="384"/>
      <c r="D78" s="384"/>
      <c r="E78" s="384"/>
      <c r="F78" s="384"/>
      <c r="G78" s="19">
        <v>69</v>
      </c>
      <c r="H78" s="20"/>
      <c r="I78" s="71"/>
      <c r="J78" s="71"/>
      <c r="L78" s="2" t="s">
        <v>2590</v>
      </c>
    </row>
    <row r="79" spans="1:12" ht="13.5" customHeight="1">
      <c r="A79" s="384" t="s">
        <v>2472</v>
      </c>
      <c r="B79" s="384"/>
      <c r="C79" s="384"/>
      <c r="D79" s="384"/>
      <c r="E79" s="384"/>
      <c r="F79" s="384"/>
      <c r="G79" s="19">
        <v>70</v>
      </c>
      <c r="H79" s="20"/>
      <c r="I79" s="70">
        <f>I80+I81-I82+I83+I84</f>
        <v>0</v>
      </c>
      <c r="J79" s="70">
        <f>J80+J81-J82+J83+J84</f>
        <v>0</v>
      </c>
      <c r="L79" s="2" t="s">
        <v>2590</v>
      </c>
    </row>
    <row r="80" spans="1:10" ht="13.5" customHeight="1">
      <c r="A80" s="383" t="s">
        <v>2640</v>
      </c>
      <c r="B80" s="383"/>
      <c r="C80" s="383"/>
      <c r="D80" s="383"/>
      <c r="E80" s="383"/>
      <c r="F80" s="383"/>
      <c r="G80" s="19">
        <v>71</v>
      </c>
      <c r="H80" s="20"/>
      <c r="I80" s="71"/>
      <c r="J80" s="71"/>
    </row>
    <row r="81" spans="1:10" ht="13.5" customHeight="1">
      <c r="A81" s="383" t="s">
        <v>2641</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2590</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2651</v>
      </c>
      <c r="B90" s="384"/>
      <c r="C90" s="384"/>
      <c r="D90" s="384"/>
      <c r="E90" s="384"/>
      <c r="F90" s="384"/>
      <c r="G90" s="19">
        <v>81</v>
      </c>
      <c r="H90" s="20"/>
      <c r="I90" s="70">
        <f>I91-I92</f>
        <v>-8028739</v>
      </c>
      <c r="J90" s="70">
        <f>J91-J92</f>
        <v>-10335008</v>
      </c>
      <c r="L90" s="2" t="s">
        <v>2590</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v>8028739</v>
      </c>
      <c r="J92" s="71">
        <v>10335008</v>
      </c>
    </row>
    <row r="93" spans="1:12" ht="13.5" customHeight="1">
      <c r="A93" s="384" t="s">
        <v>2652</v>
      </c>
      <c r="B93" s="384"/>
      <c r="C93" s="384"/>
      <c r="D93" s="384"/>
      <c r="E93" s="384"/>
      <c r="F93" s="384"/>
      <c r="G93" s="19">
        <v>84</v>
      </c>
      <c r="H93" s="20"/>
      <c r="I93" s="70">
        <f>I94-I95</f>
        <v>-2306269</v>
      </c>
      <c r="J93" s="70">
        <f>J94-J95</f>
        <v>-1972819</v>
      </c>
      <c r="L93" s="2" t="s">
        <v>2590</v>
      </c>
    </row>
    <row r="94" spans="1:10" ht="13.5" customHeight="1">
      <c r="A94" s="383" t="s">
        <v>2639</v>
      </c>
      <c r="B94" s="383"/>
      <c r="C94" s="383"/>
      <c r="D94" s="383"/>
      <c r="E94" s="383"/>
      <c r="F94" s="383"/>
      <c r="G94" s="19">
        <v>85</v>
      </c>
      <c r="H94" s="20"/>
      <c r="I94" s="71"/>
      <c r="J94" s="71"/>
    </row>
    <row r="95" spans="1:10" ht="13.5" customHeight="1">
      <c r="A95" s="383" t="s">
        <v>1141</v>
      </c>
      <c r="B95" s="383"/>
      <c r="C95" s="383"/>
      <c r="D95" s="383"/>
      <c r="E95" s="383"/>
      <c r="F95" s="383"/>
      <c r="G95" s="19">
        <v>86</v>
      </c>
      <c r="H95" s="20"/>
      <c r="I95" s="71">
        <v>2306269</v>
      </c>
      <c r="J95" s="71">
        <v>1972819</v>
      </c>
    </row>
    <row r="96" spans="1:12" ht="13.5" customHeight="1">
      <c r="A96" s="384" t="s">
        <v>2190</v>
      </c>
      <c r="B96" s="384"/>
      <c r="C96" s="384"/>
      <c r="D96" s="384"/>
      <c r="E96" s="384"/>
      <c r="F96" s="384"/>
      <c r="G96" s="19">
        <v>87</v>
      </c>
      <c r="H96" s="20"/>
      <c r="I96" s="71"/>
      <c r="J96" s="71"/>
      <c r="L96" s="2" t="s">
        <v>2590</v>
      </c>
    </row>
    <row r="97" spans="1:10" ht="13.5" customHeight="1">
      <c r="A97" s="381" t="s">
        <v>2653</v>
      </c>
      <c r="B97" s="381"/>
      <c r="C97" s="381"/>
      <c r="D97" s="381"/>
      <c r="E97" s="381"/>
      <c r="F97" s="381"/>
      <c r="G97" s="19">
        <v>88</v>
      </c>
      <c r="H97" s="20"/>
      <c r="I97" s="70">
        <f>SUM(I98:I103)</f>
        <v>429807</v>
      </c>
      <c r="J97" s="70">
        <f>SUM(J98:J103)</f>
        <v>510539</v>
      </c>
    </row>
    <row r="98" spans="1:10" ht="13.5" customHeight="1">
      <c r="A98" s="383" t="s">
        <v>901</v>
      </c>
      <c r="B98" s="383"/>
      <c r="C98" s="383"/>
      <c r="D98" s="383"/>
      <c r="E98" s="383"/>
      <c r="F98" s="383"/>
      <c r="G98" s="19">
        <v>89</v>
      </c>
      <c r="H98" s="20"/>
      <c r="I98" s="71">
        <v>374807</v>
      </c>
      <c r="J98" s="71">
        <v>435539</v>
      </c>
    </row>
    <row r="99" spans="1:10" ht="13.5" customHeight="1">
      <c r="A99" s="383" t="s">
        <v>902</v>
      </c>
      <c r="B99" s="383"/>
      <c r="C99" s="383"/>
      <c r="D99" s="383"/>
      <c r="E99" s="383"/>
      <c r="F99" s="383"/>
      <c r="G99" s="19">
        <v>90</v>
      </c>
      <c r="H99" s="20"/>
      <c r="I99" s="71"/>
      <c r="J99" s="71"/>
    </row>
    <row r="100" spans="1:10" ht="13.5" customHeight="1">
      <c r="A100" s="383" t="s">
        <v>2638</v>
      </c>
      <c r="B100" s="383"/>
      <c r="C100" s="383"/>
      <c r="D100" s="383"/>
      <c r="E100" s="383"/>
      <c r="F100" s="383"/>
      <c r="G100" s="19">
        <v>91</v>
      </c>
      <c r="H100" s="20"/>
      <c r="I100" s="71">
        <v>55000</v>
      </c>
      <c r="J100" s="71">
        <v>75000</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2191</v>
      </c>
      <c r="B103" s="383"/>
      <c r="C103" s="383"/>
      <c r="D103" s="383"/>
      <c r="E103" s="383"/>
      <c r="F103" s="383"/>
      <c r="G103" s="19">
        <v>94</v>
      </c>
      <c r="H103" s="20"/>
      <c r="I103" s="71"/>
      <c r="J103" s="71"/>
    </row>
    <row r="104" spans="1:10" ht="13.5" customHeight="1">
      <c r="A104" s="381" t="s">
        <v>2654</v>
      </c>
      <c r="B104" s="381"/>
      <c r="C104" s="381"/>
      <c r="D104" s="381"/>
      <c r="E104" s="381"/>
      <c r="F104" s="381"/>
      <c r="G104" s="19">
        <v>95</v>
      </c>
      <c r="H104" s="20"/>
      <c r="I104" s="70">
        <f>SUM(I105:I115)</f>
        <v>126393</v>
      </c>
      <c r="J104" s="70">
        <f>SUM(J105:J115)</f>
        <v>491109</v>
      </c>
    </row>
    <row r="105" spans="1:10" ht="13.5" customHeight="1">
      <c r="A105" s="383" t="s">
        <v>2192</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v>372521</v>
      </c>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v>126393</v>
      </c>
      <c r="J114" s="71">
        <v>118588</v>
      </c>
    </row>
    <row r="115" spans="1:10" ht="13.5" customHeight="1">
      <c r="A115" s="383" t="s">
        <v>503</v>
      </c>
      <c r="B115" s="383"/>
      <c r="C115" s="383"/>
      <c r="D115" s="383"/>
      <c r="E115" s="383"/>
      <c r="F115" s="383"/>
      <c r="G115" s="19">
        <v>106</v>
      </c>
      <c r="H115" s="20"/>
      <c r="I115" s="71"/>
      <c r="J115" s="71"/>
    </row>
    <row r="116" spans="1:10" ht="13.5" customHeight="1">
      <c r="A116" s="381" t="s">
        <v>2655</v>
      </c>
      <c r="B116" s="381"/>
      <c r="C116" s="381"/>
      <c r="D116" s="381"/>
      <c r="E116" s="381"/>
      <c r="F116" s="381"/>
      <c r="G116" s="19">
        <v>107</v>
      </c>
      <c r="H116" s="20"/>
      <c r="I116" s="70">
        <f>SUM(I117:I130)</f>
        <v>11453911</v>
      </c>
      <c r="J116" s="70">
        <f>SUM(J117:J130)</f>
        <v>13283266</v>
      </c>
    </row>
    <row r="117" spans="1:10" ht="13.5" customHeight="1">
      <c r="A117" s="383" t="s">
        <v>2192</v>
      </c>
      <c r="B117" s="383"/>
      <c r="C117" s="383"/>
      <c r="D117" s="383"/>
      <c r="E117" s="383"/>
      <c r="F117" s="383"/>
      <c r="G117" s="19">
        <v>108</v>
      </c>
      <c r="H117" s="20"/>
      <c r="I117" s="71">
        <v>376462</v>
      </c>
      <c r="J117" s="71">
        <v>404178</v>
      </c>
    </row>
    <row r="118" spans="1:10" ht="13.5" customHeight="1">
      <c r="A118" s="383" t="s">
        <v>356</v>
      </c>
      <c r="B118" s="383"/>
      <c r="C118" s="383"/>
      <c r="D118" s="383"/>
      <c r="E118" s="383"/>
      <c r="F118" s="383"/>
      <c r="G118" s="19">
        <v>109</v>
      </c>
      <c r="H118" s="20"/>
      <c r="I118" s="71">
        <v>8596656</v>
      </c>
      <c r="J118" s="71">
        <v>10467661</v>
      </c>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v>14120</v>
      </c>
    </row>
    <row r="124" spans="1:10" ht="13.5" customHeight="1">
      <c r="A124" s="383" t="s">
        <v>358</v>
      </c>
      <c r="B124" s="383"/>
      <c r="C124" s="383"/>
      <c r="D124" s="383"/>
      <c r="E124" s="383"/>
      <c r="F124" s="383"/>
      <c r="G124" s="19">
        <v>115</v>
      </c>
      <c r="H124" s="20"/>
      <c r="I124" s="71">
        <v>902137</v>
      </c>
      <c r="J124" s="71">
        <v>709593</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198365</v>
      </c>
      <c r="J126" s="71">
        <v>189034</v>
      </c>
    </row>
    <row r="127" spans="1:10" ht="13.5" customHeight="1">
      <c r="A127" s="383" t="s">
        <v>364</v>
      </c>
      <c r="B127" s="383"/>
      <c r="C127" s="383"/>
      <c r="D127" s="383"/>
      <c r="E127" s="383"/>
      <c r="F127" s="383"/>
      <c r="G127" s="19">
        <v>118</v>
      </c>
      <c r="H127" s="20"/>
      <c r="I127" s="71">
        <v>156848</v>
      </c>
      <c r="J127" s="71">
        <v>144800</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1223443</v>
      </c>
      <c r="J130" s="71">
        <v>1353880</v>
      </c>
    </row>
    <row r="131" spans="1:10" ht="24.75" customHeight="1">
      <c r="A131" s="381" t="s">
        <v>1560</v>
      </c>
      <c r="B131" s="381"/>
      <c r="C131" s="381"/>
      <c r="D131" s="381"/>
      <c r="E131" s="381"/>
      <c r="F131" s="381"/>
      <c r="G131" s="19">
        <v>122</v>
      </c>
      <c r="H131" s="20"/>
      <c r="I131" s="71">
        <v>388615</v>
      </c>
      <c r="J131" s="71">
        <v>516688</v>
      </c>
    </row>
    <row r="132" spans="1:10" ht="13.5" customHeight="1">
      <c r="A132" s="381" t="s">
        <v>2656</v>
      </c>
      <c r="B132" s="381"/>
      <c r="C132" s="381"/>
      <c r="D132" s="381"/>
      <c r="E132" s="381"/>
      <c r="F132" s="381"/>
      <c r="G132" s="19">
        <v>123</v>
      </c>
      <c r="H132" s="20"/>
      <c r="I132" s="70">
        <f>I76+I97+I104+I116+I131</f>
        <v>7191918</v>
      </c>
      <c r="J132" s="70">
        <f>J76+J97+J104+J116+J131</f>
        <v>7621975</v>
      </c>
    </row>
    <row r="133" spans="1:10" ht="13.5" customHeight="1">
      <c r="A133" s="382" t="s">
        <v>662</v>
      </c>
      <c r="B133" s="382"/>
      <c r="C133" s="382"/>
      <c r="D133" s="382"/>
      <c r="E133" s="382"/>
      <c r="F133" s="382"/>
      <c r="G133" s="21">
        <v>124</v>
      </c>
      <c r="H133" s="22"/>
      <c r="I133" s="72">
        <v>1282525</v>
      </c>
      <c r="J133" s="72">
        <v>1097999</v>
      </c>
    </row>
    <row r="134" ht="4.5" customHeight="1"/>
    <row r="135" ht="11.25"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89" dxfId="2" operator="notEqual" stopIfTrue="1">
      <formula>ROUND(I76,0)</formula>
    </cfRule>
  </conditionalFormatting>
  <conditionalFormatting sqref="I9:J74 I77:J77 I94:J95 I97:J133 I91:J92">
    <cfRule type="cellIs" priority="90" dxfId="2" operator="notEqual" stopIfTrue="1">
      <formula>ROUND(I9,0)</formula>
    </cfRule>
    <cfRule type="cellIs" priority="91" dxfId="1" operator="lessThan" stopIfTrue="1">
      <formula>0</formula>
    </cfRule>
  </conditionalFormatting>
  <conditionalFormatting sqref="I21:J22">
    <cfRule type="cellIs" priority="87" dxfId="2" operator="notEqual" stopIfTrue="1">
      <formula>ROUND(I21,0)</formula>
    </cfRule>
    <cfRule type="cellIs" priority="88" dxfId="1" operator="lessThan" stopIfTrue="1">
      <formula>0</formula>
    </cfRule>
  </conditionalFormatting>
  <conditionalFormatting sqref="I26:J26">
    <cfRule type="cellIs" priority="85" dxfId="2" operator="notEqual" stopIfTrue="1">
      <formula>ROUND(I26,0)</formula>
    </cfRule>
    <cfRule type="cellIs" priority="86" dxfId="1" operator="lessThan" stopIfTrue="1">
      <formula>0</formula>
    </cfRule>
  </conditionalFormatting>
  <conditionalFormatting sqref="I36">
    <cfRule type="cellIs" priority="83" dxfId="2" operator="notEqual" stopIfTrue="1">
      <formula>ROUND(I36,0)</formula>
    </cfRule>
    <cfRule type="cellIs" priority="84" dxfId="1" operator="lessThan" stopIfTrue="1">
      <formula>0</formula>
    </cfRule>
  </conditionalFormatting>
  <conditionalFormatting sqref="I42:J42">
    <cfRule type="cellIs" priority="81" dxfId="2" operator="notEqual" stopIfTrue="1">
      <formula>ROUND(I42,0)</formula>
    </cfRule>
    <cfRule type="cellIs" priority="82" dxfId="1" operator="lessThan" stopIfTrue="1">
      <formula>0</formula>
    </cfRule>
  </conditionalFormatting>
  <conditionalFormatting sqref="I44:J44">
    <cfRule type="cellIs" priority="79" dxfId="2" operator="notEqual" stopIfTrue="1">
      <formula>ROUND(I44,0)</formula>
    </cfRule>
    <cfRule type="cellIs" priority="80" dxfId="1" operator="lessThan" stopIfTrue="1">
      <formula>0</formula>
    </cfRule>
  </conditionalFormatting>
  <conditionalFormatting sqref="I48:J50">
    <cfRule type="cellIs" priority="77" dxfId="2" operator="notEqual" stopIfTrue="1">
      <formula>ROUND(I48,0)</formula>
    </cfRule>
    <cfRule type="cellIs" priority="78" dxfId="1" operator="lessThan" stopIfTrue="1">
      <formula>0</formula>
    </cfRule>
  </conditionalFormatting>
  <conditionalFormatting sqref="I55:J59">
    <cfRule type="cellIs" priority="75" dxfId="2" operator="notEqual" stopIfTrue="1">
      <formula>ROUND(I55,0)</formula>
    </cfRule>
    <cfRule type="cellIs" priority="76" dxfId="1" operator="lessThan" stopIfTrue="1">
      <formula>0</formula>
    </cfRule>
  </conditionalFormatting>
  <conditionalFormatting sqref="I71:J72">
    <cfRule type="cellIs" priority="73" dxfId="2" operator="notEqual" stopIfTrue="1">
      <formula>ROUND(I71,0)</formula>
    </cfRule>
    <cfRule type="cellIs" priority="74" dxfId="1" operator="lessThan" stopIfTrue="1">
      <formula>0</formula>
    </cfRule>
  </conditionalFormatting>
  <conditionalFormatting sqref="I74:J74">
    <cfRule type="cellIs" priority="71" dxfId="2" operator="notEqual" stopIfTrue="1">
      <formula>ROUND(I74,0)</formula>
    </cfRule>
    <cfRule type="cellIs" priority="72" dxfId="1" operator="lessThan" stopIfTrue="1">
      <formula>0</formula>
    </cfRule>
  </conditionalFormatting>
  <conditionalFormatting sqref="I77:J77">
    <cfRule type="cellIs" priority="69" dxfId="2" operator="notEqual" stopIfTrue="1">
      <formula>ROUND(I77,0)</formula>
    </cfRule>
    <cfRule type="cellIs" priority="70" dxfId="1" operator="lessThan" stopIfTrue="1">
      <formula>0</formula>
    </cfRule>
  </conditionalFormatting>
  <conditionalFormatting sqref="I92:J92">
    <cfRule type="cellIs" priority="67" dxfId="2" operator="notEqual" stopIfTrue="1">
      <formula>ROUND(I92,0)</formula>
    </cfRule>
    <cfRule type="cellIs" priority="68" dxfId="1" operator="lessThan" stopIfTrue="1">
      <formula>0</formula>
    </cfRule>
  </conditionalFormatting>
  <conditionalFormatting sqref="I95:J95">
    <cfRule type="cellIs" priority="65" dxfId="2" operator="notEqual" stopIfTrue="1">
      <formula>ROUND(I95,0)</formula>
    </cfRule>
    <cfRule type="cellIs" priority="66" dxfId="1" operator="lessThan" stopIfTrue="1">
      <formula>0</formula>
    </cfRule>
  </conditionalFormatting>
  <conditionalFormatting sqref="I98:J100">
    <cfRule type="cellIs" priority="63" dxfId="2" operator="notEqual" stopIfTrue="1">
      <formula>ROUND(I98,0)</formula>
    </cfRule>
    <cfRule type="cellIs" priority="64" dxfId="1" operator="lessThan" stopIfTrue="1">
      <formula>0</formula>
    </cfRule>
  </conditionalFormatting>
  <conditionalFormatting sqref="I114:J114">
    <cfRule type="cellIs" priority="61" dxfId="2" operator="notEqual" stopIfTrue="1">
      <formula>ROUND(I114,0)</formula>
    </cfRule>
    <cfRule type="cellIs" priority="62" dxfId="1" operator="lessThan" stopIfTrue="1">
      <formula>0</formula>
    </cfRule>
  </conditionalFormatting>
  <conditionalFormatting sqref="I117:J118">
    <cfRule type="cellIs" priority="59" dxfId="2" operator="notEqual" stopIfTrue="1">
      <formula>ROUND(I117,0)</formula>
    </cfRule>
    <cfRule type="cellIs" priority="60" dxfId="1" operator="lessThan" stopIfTrue="1">
      <formula>0</formula>
    </cfRule>
  </conditionalFormatting>
  <conditionalFormatting sqref="I124:J131">
    <cfRule type="cellIs" priority="57" dxfId="2" operator="notEqual" stopIfTrue="1">
      <formula>ROUND(I124,0)</formula>
    </cfRule>
    <cfRule type="cellIs" priority="58" dxfId="1" operator="lessThan" stopIfTrue="1">
      <formula>0</formula>
    </cfRule>
  </conditionalFormatting>
  <conditionalFormatting sqref="I133:J133">
    <cfRule type="cellIs" priority="55" dxfId="2" operator="notEqual" stopIfTrue="1">
      <formula>ROUND(I133,0)</formula>
    </cfRule>
    <cfRule type="cellIs" priority="56" dxfId="1" operator="lessThan" stopIfTrue="1">
      <formula>0</formula>
    </cfRule>
  </conditionalFormatting>
  <conditionalFormatting sqref="I21:I26">
    <cfRule type="cellIs" priority="53" dxfId="2" operator="notEqual" stopIfTrue="1">
      <formula>ROUND(I21,0)</formula>
    </cfRule>
    <cfRule type="cellIs" priority="54" dxfId="1" operator="lessThan" stopIfTrue="1">
      <formula>0</formula>
    </cfRule>
  </conditionalFormatting>
  <conditionalFormatting sqref="I42:I44">
    <cfRule type="cellIs" priority="51" dxfId="2" operator="notEqual" stopIfTrue="1">
      <formula>ROUND(I42,0)</formula>
    </cfRule>
    <cfRule type="cellIs" priority="52" dxfId="1" operator="lessThan" stopIfTrue="1">
      <formula>0</formula>
    </cfRule>
  </conditionalFormatting>
  <conditionalFormatting sqref="I48:I50">
    <cfRule type="cellIs" priority="49" dxfId="2" operator="notEqual" stopIfTrue="1">
      <formula>ROUND(I48,0)</formula>
    </cfRule>
    <cfRule type="cellIs" priority="50" dxfId="1" operator="lessThan" stopIfTrue="1">
      <formula>0</formula>
    </cfRule>
  </conditionalFormatting>
  <conditionalFormatting sqref="I55:I59">
    <cfRule type="cellIs" priority="47" dxfId="2" operator="notEqual" stopIfTrue="1">
      <formula>ROUND(I55,0)</formula>
    </cfRule>
    <cfRule type="cellIs" priority="48" dxfId="1" operator="lessThan" stopIfTrue="1">
      <formula>0</formula>
    </cfRule>
  </conditionalFormatting>
  <conditionalFormatting sqref="I71:I72">
    <cfRule type="cellIs" priority="45" dxfId="2" operator="notEqual" stopIfTrue="1">
      <formula>ROUND(I71,0)</formula>
    </cfRule>
    <cfRule type="cellIs" priority="46" dxfId="1" operator="lessThan" stopIfTrue="1">
      <formula>0</formula>
    </cfRule>
  </conditionalFormatting>
  <conditionalFormatting sqref="I74">
    <cfRule type="cellIs" priority="43" dxfId="2" operator="notEqual" stopIfTrue="1">
      <formula>ROUND(I74,0)</formula>
    </cfRule>
    <cfRule type="cellIs" priority="44" dxfId="1" operator="lessThan" stopIfTrue="1">
      <formula>0</formula>
    </cfRule>
  </conditionalFormatting>
  <conditionalFormatting sqref="I92">
    <cfRule type="cellIs" priority="41" dxfId="2" operator="notEqual" stopIfTrue="1">
      <formula>ROUND(I92,0)</formula>
    </cfRule>
    <cfRule type="cellIs" priority="42" dxfId="1" operator="lessThan" stopIfTrue="1">
      <formula>0</formula>
    </cfRule>
  </conditionalFormatting>
  <conditionalFormatting sqref="I95">
    <cfRule type="cellIs" priority="39" dxfId="2" operator="notEqual" stopIfTrue="1">
      <formula>ROUND(I95,0)</formula>
    </cfRule>
    <cfRule type="cellIs" priority="40" dxfId="1" operator="lessThan" stopIfTrue="1">
      <formula>0</formula>
    </cfRule>
  </conditionalFormatting>
  <conditionalFormatting sqref="I98:I100">
    <cfRule type="cellIs" priority="37" dxfId="2" operator="notEqual" stopIfTrue="1">
      <formula>ROUND(I98,0)</formula>
    </cfRule>
    <cfRule type="cellIs" priority="38" dxfId="1" operator="lessThan" stopIfTrue="1">
      <formula>0</formula>
    </cfRule>
  </conditionalFormatting>
  <conditionalFormatting sqref="I114">
    <cfRule type="cellIs" priority="35" dxfId="2" operator="notEqual" stopIfTrue="1">
      <formula>ROUND(I114,0)</formula>
    </cfRule>
    <cfRule type="cellIs" priority="36" dxfId="1" operator="lessThan" stopIfTrue="1">
      <formula>0</formula>
    </cfRule>
  </conditionalFormatting>
  <conditionalFormatting sqref="I117:I118">
    <cfRule type="cellIs" priority="33" dxfId="2" operator="notEqual" stopIfTrue="1">
      <formula>ROUND(I117,0)</formula>
    </cfRule>
    <cfRule type="cellIs" priority="34" dxfId="1" operator="lessThan" stopIfTrue="1">
      <formula>0</formula>
    </cfRule>
  </conditionalFormatting>
  <conditionalFormatting sqref="I124:I131">
    <cfRule type="cellIs" priority="31" dxfId="2" operator="notEqual" stopIfTrue="1">
      <formula>ROUND(I124,0)</formula>
    </cfRule>
    <cfRule type="cellIs" priority="32" dxfId="1" operator="lessThan" stopIfTrue="1">
      <formula>0</formula>
    </cfRule>
  </conditionalFormatting>
  <conditionalFormatting sqref="I133">
    <cfRule type="cellIs" priority="29" dxfId="2" operator="notEqual" stopIfTrue="1">
      <formula>ROUND(I133,0)</formula>
    </cfRule>
    <cfRule type="cellIs" priority="30" dxfId="1" operator="lessThan" stopIfTrue="1">
      <formula>0</formula>
    </cfRule>
  </conditionalFormatting>
  <conditionalFormatting sqref="J17">
    <cfRule type="cellIs" priority="27" dxfId="2" operator="notEqual" stopIfTrue="1">
      <formula>ROUND(J17,0)</formula>
    </cfRule>
    <cfRule type="cellIs" priority="28" dxfId="1" operator="lessThan" stopIfTrue="1">
      <formula>0</formula>
    </cfRule>
  </conditionalFormatting>
  <conditionalFormatting sqref="J21:J26">
    <cfRule type="cellIs" priority="25" dxfId="2" operator="notEqual" stopIfTrue="1">
      <formula>ROUND(J21,0)</formula>
    </cfRule>
    <cfRule type="cellIs" priority="26" dxfId="1" operator="lessThan" stopIfTrue="1">
      <formula>0</formula>
    </cfRule>
  </conditionalFormatting>
  <conditionalFormatting sqref="J42:J44">
    <cfRule type="cellIs" priority="23" dxfId="2" operator="notEqual" stopIfTrue="1">
      <formula>ROUND(J42,0)</formula>
    </cfRule>
    <cfRule type="cellIs" priority="24" dxfId="1" operator="lessThan" stopIfTrue="1">
      <formula>0</formula>
    </cfRule>
  </conditionalFormatting>
  <conditionalFormatting sqref="J48:J50">
    <cfRule type="cellIs" priority="21" dxfId="2" operator="notEqual" stopIfTrue="1">
      <formula>ROUND(J48,0)</formula>
    </cfRule>
    <cfRule type="cellIs" priority="22" dxfId="1" operator="lessThan" stopIfTrue="1">
      <formula>0</formula>
    </cfRule>
  </conditionalFormatting>
  <conditionalFormatting sqref="J55:J59">
    <cfRule type="cellIs" priority="19" dxfId="2" operator="notEqual" stopIfTrue="1">
      <formula>ROUND(J55,0)</formula>
    </cfRule>
    <cfRule type="cellIs" priority="20" dxfId="1" operator="lessThan" stopIfTrue="1">
      <formula>0</formula>
    </cfRule>
  </conditionalFormatting>
  <conditionalFormatting sqref="J71:J72">
    <cfRule type="cellIs" priority="17" dxfId="2" operator="notEqual" stopIfTrue="1">
      <formula>ROUND(J71,0)</formula>
    </cfRule>
    <cfRule type="cellIs" priority="18" dxfId="1" operator="lessThan" stopIfTrue="1">
      <formula>0</formula>
    </cfRule>
  </conditionalFormatting>
  <conditionalFormatting sqref="J74">
    <cfRule type="cellIs" priority="15" dxfId="2" operator="notEqual" stopIfTrue="1">
      <formula>ROUND(J74,0)</formula>
    </cfRule>
    <cfRule type="cellIs" priority="16" dxfId="1" operator="lessThan" stopIfTrue="1">
      <formula>0</formula>
    </cfRule>
  </conditionalFormatting>
  <conditionalFormatting sqref="J92">
    <cfRule type="cellIs" priority="13" dxfId="2" operator="notEqual" stopIfTrue="1">
      <formula>ROUND(J92,0)</formula>
    </cfRule>
    <cfRule type="cellIs" priority="14" dxfId="1" operator="lessThan" stopIfTrue="1">
      <formula>0</formula>
    </cfRule>
  </conditionalFormatting>
  <conditionalFormatting sqref="J95">
    <cfRule type="cellIs" priority="11" dxfId="2" operator="notEqual" stopIfTrue="1">
      <formula>ROUND(J95,0)</formula>
    </cfRule>
    <cfRule type="cellIs" priority="12" dxfId="1" operator="lessThan" stopIfTrue="1">
      <formula>0</formula>
    </cfRule>
  </conditionalFormatting>
  <conditionalFormatting sqref="J98:J100">
    <cfRule type="cellIs" priority="9" dxfId="2" operator="notEqual" stopIfTrue="1">
      <formula>ROUND(J98,0)</formula>
    </cfRule>
    <cfRule type="cellIs" priority="10" dxfId="1" operator="lessThan" stopIfTrue="1">
      <formula>0</formula>
    </cfRule>
  </conditionalFormatting>
  <conditionalFormatting sqref="J112:J114">
    <cfRule type="cellIs" priority="7" dxfId="2" operator="notEqual" stopIfTrue="1">
      <formula>ROUND(J112,0)</formula>
    </cfRule>
    <cfRule type="cellIs" priority="8" dxfId="1" operator="lessThan" stopIfTrue="1">
      <formula>0</formula>
    </cfRule>
  </conditionalFormatting>
  <conditionalFormatting sqref="J117:J118">
    <cfRule type="cellIs" priority="5" dxfId="2" operator="notEqual" stopIfTrue="1">
      <formula>ROUND(J117,0)</formula>
    </cfRule>
    <cfRule type="cellIs" priority="6" dxfId="1" operator="lessThan" stopIfTrue="1">
      <formula>0</formula>
    </cfRule>
  </conditionalFormatting>
  <conditionalFormatting sqref="J123:J131">
    <cfRule type="cellIs" priority="3" dxfId="2" operator="notEqual" stopIfTrue="1">
      <formula>ROUND(J123,0)</formula>
    </cfRule>
    <cfRule type="cellIs" priority="4" dxfId="1" operator="lessThan" stopIfTrue="1">
      <formula>0</formula>
    </cfRule>
  </conditionalFormatting>
  <conditionalFormatting sqref="J133">
    <cfRule type="cellIs" priority="1" dxfId="2" operator="notEqual" stopIfTrue="1">
      <formula>ROUND(J133,0)</formula>
    </cfRule>
    <cfRule type="cellIs" priority="2"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13" sqref="J1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2591</v>
      </c>
      <c r="Q2" s="74">
        <f>IF(OR(MIN(I8:I105)&lt;0,MAX(I8:I105)&gt;0),1,0)</f>
        <v>1</v>
      </c>
      <c r="R2" s="73" t="s">
        <v>2585</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37620818018; AGM d.o.o.</v>
      </c>
      <c r="B5" s="411"/>
      <c r="C5" s="411"/>
      <c r="D5" s="411"/>
      <c r="E5" s="411"/>
      <c r="F5" s="411"/>
      <c r="G5" s="411"/>
      <c r="H5" s="411"/>
      <c r="I5" s="411"/>
      <c r="J5" s="412"/>
      <c r="Q5" s="2">
        <f>IF(OR(MIN(I85:I87,I103:I105)&lt;0,MAX(I85:I87,I103:I105)&gt;0),1,0)</f>
        <v>0</v>
      </c>
      <c r="R5" s="73" t="s">
        <v>2587</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2588</v>
      </c>
    </row>
    <row r="7" spans="1:18" s="2" customFormat="1" ht="13.5" customHeight="1">
      <c r="A7" s="401">
        <v>1</v>
      </c>
      <c r="B7" s="402"/>
      <c r="C7" s="402"/>
      <c r="D7" s="402"/>
      <c r="E7" s="402"/>
      <c r="F7" s="402"/>
      <c r="G7" s="105">
        <v>2</v>
      </c>
      <c r="H7" s="105">
        <v>3</v>
      </c>
      <c r="I7" s="104">
        <v>4</v>
      </c>
      <c r="J7" s="106">
        <v>5</v>
      </c>
      <c r="Q7" s="2">
        <f>IF(OR(MIN(RDG!I89:J101)&lt;0,MAX(RDG!I89:J101)&gt;0),1,0)</f>
        <v>1</v>
      </c>
      <c r="R7" s="73" t="s">
        <v>800</v>
      </c>
    </row>
    <row r="8" spans="1:18" s="2" customFormat="1" ht="13.5" customHeight="1">
      <c r="A8" s="408" t="s">
        <v>1836</v>
      </c>
      <c r="B8" s="408"/>
      <c r="C8" s="408"/>
      <c r="D8" s="408"/>
      <c r="E8" s="408"/>
      <c r="F8" s="408"/>
      <c r="G8" s="17">
        <v>125</v>
      </c>
      <c r="H8" s="18"/>
      <c r="I8" s="84">
        <f>SUM(I9:I13)</f>
        <v>6402562</v>
      </c>
      <c r="J8" s="84">
        <f>SUM(J9:J13)</f>
        <v>6260980</v>
      </c>
      <c r="Q8" s="2">
        <f>IF(OR(MIN(I70:J75)&lt;&gt;0,MAX(I70:J75)&lt;&gt;0),1,0)</f>
        <v>0</v>
      </c>
      <c r="R8" s="73" t="s">
        <v>2596</v>
      </c>
    </row>
    <row r="9" spans="1:10" s="2" customFormat="1" ht="13.5" customHeight="1">
      <c r="A9" s="383" t="s">
        <v>1434</v>
      </c>
      <c r="B9" s="383"/>
      <c r="C9" s="383"/>
      <c r="D9" s="383"/>
      <c r="E9" s="383"/>
      <c r="F9" s="383"/>
      <c r="G9" s="19">
        <v>126</v>
      </c>
      <c r="H9" s="20"/>
      <c r="I9" s="71">
        <v>400290</v>
      </c>
      <c r="J9" s="71">
        <v>190926</v>
      </c>
    </row>
    <row r="10" spans="1:10" s="2" customFormat="1" ht="13.5" customHeight="1">
      <c r="A10" s="383" t="s">
        <v>730</v>
      </c>
      <c r="B10" s="383"/>
      <c r="C10" s="383"/>
      <c r="D10" s="383"/>
      <c r="E10" s="383"/>
      <c r="F10" s="383"/>
      <c r="G10" s="19">
        <v>127</v>
      </c>
      <c r="H10" s="20"/>
      <c r="I10" s="71">
        <v>5411375</v>
      </c>
      <c r="J10" s="71">
        <v>5324391</v>
      </c>
    </row>
    <row r="11" spans="1:10" s="2" customFormat="1" ht="13.5" customHeight="1">
      <c r="A11" s="383" t="s">
        <v>1435</v>
      </c>
      <c r="B11" s="383"/>
      <c r="C11" s="383"/>
      <c r="D11" s="383"/>
      <c r="E11" s="383"/>
      <c r="F11" s="383"/>
      <c r="G11" s="19">
        <v>128</v>
      </c>
      <c r="H11" s="20"/>
      <c r="I11" s="71">
        <v>34996</v>
      </c>
      <c r="J11" s="71">
        <v>72747</v>
      </c>
    </row>
    <row r="12" spans="1:10" s="2" customFormat="1" ht="13.5" customHeight="1">
      <c r="A12" s="383" t="s">
        <v>1436</v>
      </c>
      <c r="B12" s="383"/>
      <c r="C12" s="383"/>
      <c r="D12" s="383"/>
      <c r="E12" s="383"/>
      <c r="F12" s="383"/>
      <c r="G12" s="19">
        <v>129</v>
      </c>
      <c r="H12" s="20"/>
      <c r="I12" s="71">
        <v>110000</v>
      </c>
      <c r="J12" s="71">
        <v>163000</v>
      </c>
    </row>
    <row r="13" spans="1:10" s="2" customFormat="1" ht="13.5" customHeight="1">
      <c r="A13" s="383" t="s">
        <v>2509</v>
      </c>
      <c r="B13" s="383"/>
      <c r="C13" s="383"/>
      <c r="D13" s="383"/>
      <c r="E13" s="383"/>
      <c r="F13" s="383"/>
      <c r="G13" s="19">
        <v>130</v>
      </c>
      <c r="H13" s="20"/>
      <c r="I13" s="71">
        <v>445901</v>
      </c>
      <c r="J13" s="71">
        <v>509916</v>
      </c>
    </row>
    <row r="14" spans="1:10" s="2" customFormat="1" ht="13.5" customHeight="1">
      <c r="A14" s="381" t="s">
        <v>1837</v>
      </c>
      <c r="B14" s="381"/>
      <c r="C14" s="381"/>
      <c r="D14" s="381"/>
      <c r="E14" s="381"/>
      <c r="F14" s="381"/>
      <c r="G14" s="19">
        <v>131</v>
      </c>
      <c r="H14" s="20"/>
      <c r="I14" s="70">
        <f>I15+I16+I20+I24+I25+I26+I29+I36</f>
        <v>8383368</v>
      </c>
      <c r="J14" s="70">
        <f>J15+J16+J20+J24+J25+J26+J29+J36</f>
        <v>7861907</v>
      </c>
    </row>
    <row r="15" spans="1:12" s="2" customFormat="1" ht="13.5" customHeight="1">
      <c r="A15" s="383" t="s">
        <v>258</v>
      </c>
      <c r="B15" s="383"/>
      <c r="C15" s="383"/>
      <c r="D15" s="383"/>
      <c r="E15" s="383"/>
      <c r="F15" s="383"/>
      <c r="G15" s="19">
        <v>132</v>
      </c>
      <c r="H15" s="20"/>
      <c r="I15" s="71">
        <v>397184</v>
      </c>
      <c r="J15" s="71">
        <v>9098</v>
      </c>
      <c r="L15" s="2" t="s">
        <v>2590</v>
      </c>
    </row>
    <row r="16" spans="1:10" s="2" customFormat="1" ht="13.5" customHeight="1">
      <c r="A16" s="383" t="s">
        <v>1838</v>
      </c>
      <c r="B16" s="383"/>
      <c r="C16" s="383"/>
      <c r="D16" s="383"/>
      <c r="E16" s="383"/>
      <c r="F16" s="383"/>
      <c r="G16" s="19">
        <v>133</v>
      </c>
      <c r="H16" s="20"/>
      <c r="I16" s="70">
        <f>SUM(I17:I19)</f>
        <v>3066532</v>
      </c>
      <c r="J16" s="70">
        <f>SUM(J17:J19)</f>
        <v>3283781</v>
      </c>
    </row>
    <row r="17" spans="1:10" s="2" customFormat="1" ht="13.5" customHeight="1">
      <c r="A17" s="409" t="s">
        <v>504</v>
      </c>
      <c r="B17" s="409"/>
      <c r="C17" s="409"/>
      <c r="D17" s="409"/>
      <c r="E17" s="409"/>
      <c r="F17" s="409"/>
      <c r="G17" s="19">
        <v>134</v>
      </c>
      <c r="H17" s="20"/>
      <c r="I17" s="71">
        <v>123638</v>
      </c>
      <c r="J17" s="71">
        <v>132996</v>
      </c>
    </row>
    <row r="18" spans="1:10" s="2" customFormat="1" ht="13.5" customHeight="1">
      <c r="A18" s="409" t="s">
        <v>505</v>
      </c>
      <c r="B18" s="409"/>
      <c r="C18" s="409"/>
      <c r="D18" s="409"/>
      <c r="E18" s="409"/>
      <c r="F18" s="409"/>
      <c r="G18" s="19">
        <v>135</v>
      </c>
      <c r="H18" s="20"/>
      <c r="I18" s="71">
        <v>1682485</v>
      </c>
      <c r="J18" s="71">
        <v>1579469</v>
      </c>
    </row>
    <row r="19" spans="1:10" s="2" customFormat="1" ht="13.5" customHeight="1">
      <c r="A19" s="409" t="s">
        <v>1426</v>
      </c>
      <c r="B19" s="409"/>
      <c r="C19" s="409"/>
      <c r="D19" s="409"/>
      <c r="E19" s="409"/>
      <c r="F19" s="409"/>
      <c r="G19" s="19">
        <v>136</v>
      </c>
      <c r="H19" s="20"/>
      <c r="I19" s="71">
        <v>1260409</v>
      </c>
      <c r="J19" s="71">
        <v>1571316</v>
      </c>
    </row>
    <row r="20" spans="1:10" s="2" customFormat="1" ht="13.5" customHeight="1">
      <c r="A20" s="383" t="s">
        <v>1839</v>
      </c>
      <c r="B20" s="383"/>
      <c r="C20" s="383"/>
      <c r="D20" s="383"/>
      <c r="E20" s="383"/>
      <c r="F20" s="383"/>
      <c r="G20" s="19">
        <v>137</v>
      </c>
      <c r="H20" s="20"/>
      <c r="I20" s="70">
        <f>SUM(I21:I23)</f>
        <v>3974865</v>
      </c>
      <c r="J20" s="70">
        <f>SUM(J21:J23)</f>
        <v>3737052</v>
      </c>
    </row>
    <row r="21" spans="1:10" s="2" customFormat="1" ht="13.5" customHeight="1">
      <c r="A21" s="409" t="s">
        <v>724</v>
      </c>
      <c r="B21" s="409"/>
      <c r="C21" s="409"/>
      <c r="D21" s="409"/>
      <c r="E21" s="409"/>
      <c r="F21" s="409"/>
      <c r="G21" s="19">
        <v>138</v>
      </c>
      <c r="H21" s="20"/>
      <c r="I21" s="71">
        <v>2384561</v>
      </c>
      <c r="J21" s="71">
        <v>2243979</v>
      </c>
    </row>
    <row r="22" spans="1:10" s="2" customFormat="1" ht="13.5" customHeight="1">
      <c r="A22" s="409" t="s">
        <v>961</v>
      </c>
      <c r="B22" s="409"/>
      <c r="C22" s="409"/>
      <c r="D22" s="409"/>
      <c r="E22" s="409"/>
      <c r="F22" s="409"/>
      <c r="G22" s="19">
        <v>139</v>
      </c>
      <c r="H22" s="20"/>
      <c r="I22" s="71">
        <v>995683</v>
      </c>
      <c r="J22" s="71">
        <v>961936</v>
      </c>
    </row>
    <row r="23" spans="1:10" s="2" customFormat="1" ht="13.5" customHeight="1">
      <c r="A23" s="409" t="s">
        <v>962</v>
      </c>
      <c r="B23" s="409"/>
      <c r="C23" s="409"/>
      <c r="D23" s="409"/>
      <c r="E23" s="409"/>
      <c r="F23" s="409"/>
      <c r="G23" s="19">
        <v>140</v>
      </c>
      <c r="H23" s="20"/>
      <c r="I23" s="71">
        <v>594621</v>
      </c>
      <c r="J23" s="71">
        <v>531137</v>
      </c>
    </row>
    <row r="24" spans="1:10" s="2" customFormat="1" ht="13.5" customHeight="1">
      <c r="A24" s="383" t="s">
        <v>259</v>
      </c>
      <c r="B24" s="383"/>
      <c r="C24" s="383"/>
      <c r="D24" s="383"/>
      <c r="E24" s="383"/>
      <c r="F24" s="383"/>
      <c r="G24" s="19">
        <v>141</v>
      </c>
      <c r="H24" s="20"/>
      <c r="I24" s="71">
        <v>11422</v>
      </c>
      <c r="J24" s="71">
        <v>173411</v>
      </c>
    </row>
    <row r="25" spans="1:10" s="2" customFormat="1" ht="13.5" customHeight="1">
      <c r="A25" s="383" t="s">
        <v>260</v>
      </c>
      <c r="B25" s="383"/>
      <c r="C25" s="383"/>
      <c r="D25" s="383"/>
      <c r="E25" s="383"/>
      <c r="F25" s="383"/>
      <c r="G25" s="19">
        <v>142</v>
      </c>
      <c r="H25" s="20"/>
      <c r="I25" s="71">
        <v>379563</v>
      </c>
      <c r="J25" s="71">
        <v>398774</v>
      </c>
    </row>
    <row r="26" spans="1:12" s="2" customFormat="1" ht="13.5" customHeight="1">
      <c r="A26" s="383" t="s">
        <v>1840</v>
      </c>
      <c r="B26" s="383"/>
      <c r="C26" s="383"/>
      <c r="D26" s="383"/>
      <c r="E26" s="383"/>
      <c r="F26" s="383"/>
      <c r="G26" s="19">
        <v>143</v>
      </c>
      <c r="H26" s="20"/>
      <c r="I26" s="70">
        <f>SUM(I27:I28)</f>
        <v>172084</v>
      </c>
      <c r="J26" s="70">
        <f>SUM(J27:J28)</f>
        <v>0</v>
      </c>
      <c r="L26" s="2" t="s">
        <v>2590</v>
      </c>
    </row>
    <row r="27" spans="1:12" s="2" customFormat="1" ht="13.5" customHeight="1">
      <c r="A27" s="409" t="s">
        <v>506</v>
      </c>
      <c r="B27" s="409"/>
      <c r="C27" s="409"/>
      <c r="D27" s="409"/>
      <c r="E27" s="409"/>
      <c r="F27" s="409"/>
      <c r="G27" s="19">
        <v>144</v>
      </c>
      <c r="H27" s="20"/>
      <c r="I27" s="71"/>
      <c r="J27" s="71"/>
      <c r="L27" s="2" t="s">
        <v>2590</v>
      </c>
    </row>
    <row r="28" spans="1:12" s="2" customFormat="1" ht="13.5" customHeight="1">
      <c r="A28" s="409" t="s">
        <v>507</v>
      </c>
      <c r="B28" s="409"/>
      <c r="C28" s="409"/>
      <c r="D28" s="409"/>
      <c r="E28" s="409"/>
      <c r="F28" s="409"/>
      <c r="G28" s="19">
        <v>145</v>
      </c>
      <c r="H28" s="20"/>
      <c r="I28" s="71">
        <v>172084</v>
      </c>
      <c r="J28" s="71"/>
      <c r="L28" s="2" t="s">
        <v>2590</v>
      </c>
    </row>
    <row r="29" spans="1:12" s="2" customFormat="1" ht="13.5" customHeight="1">
      <c r="A29" s="383" t="s">
        <v>1841</v>
      </c>
      <c r="B29" s="383"/>
      <c r="C29" s="383"/>
      <c r="D29" s="383"/>
      <c r="E29" s="383"/>
      <c r="F29" s="383"/>
      <c r="G29" s="19">
        <v>146</v>
      </c>
      <c r="H29" s="20"/>
      <c r="I29" s="70">
        <f>SUM(I30:I35)</f>
        <v>192725</v>
      </c>
      <c r="J29" s="70">
        <f>SUM(J30:J35)</f>
        <v>258545</v>
      </c>
      <c r="L29" s="2" t="s">
        <v>2590</v>
      </c>
    </row>
    <row r="30" spans="1:12" s="2" customFormat="1" ht="13.5" customHeight="1">
      <c r="A30" s="409" t="s">
        <v>508</v>
      </c>
      <c r="B30" s="409"/>
      <c r="C30" s="409"/>
      <c r="D30" s="409"/>
      <c r="E30" s="409"/>
      <c r="F30" s="409"/>
      <c r="G30" s="19">
        <v>147</v>
      </c>
      <c r="H30" s="20"/>
      <c r="I30" s="71"/>
      <c r="J30" s="71">
        <v>69318</v>
      </c>
      <c r="L30" s="2" t="s">
        <v>2590</v>
      </c>
    </row>
    <row r="31" spans="1:12" s="2" customFormat="1" ht="13.5" customHeight="1">
      <c r="A31" s="409" t="s">
        <v>509</v>
      </c>
      <c r="B31" s="409"/>
      <c r="C31" s="409"/>
      <c r="D31" s="409"/>
      <c r="E31" s="409"/>
      <c r="F31" s="409"/>
      <c r="G31" s="19">
        <v>148</v>
      </c>
      <c r="H31" s="20"/>
      <c r="I31" s="71"/>
      <c r="J31" s="71"/>
      <c r="L31" s="2" t="s">
        <v>2590</v>
      </c>
    </row>
    <row r="32" spans="1:12" s="2" customFormat="1" ht="13.5" customHeight="1">
      <c r="A32" s="409" t="s">
        <v>510</v>
      </c>
      <c r="B32" s="409"/>
      <c r="C32" s="409"/>
      <c r="D32" s="409"/>
      <c r="E32" s="409"/>
      <c r="F32" s="409"/>
      <c r="G32" s="19">
        <v>149</v>
      </c>
      <c r="H32" s="20"/>
      <c r="I32" s="71">
        <v>55000</v>
      </c>
      <c r="J32" s="71">
        <v>35000</v>
      </c>
      <c r="L32" s="2" t="s">
        <v>2590</v>
      </c>
    </row>
    <row r="33" spans="1:12" s="2" customFormat="1" ht="13.5" customHeight="1">
      <c r="A33" s="409" t="s">
        <v>511</v>
      </c>
      <c r="B33" s="409"/>
      <c r="C33" s="409"/>
      <c r="D33" s="409"/>
      <c r="E33" s="409"/>
      <c r="F33" s="409"/>
      <c r="G33" s="19">
        <v>150</v>
      </c>
      <c r="H33" s="20"/>
      <c r="I33" s="71"/>
      <c r="J33" s="71"/>
      <c r="L33" s="2" t="s">
        <v>2590</v>
      </c>
    </row>
    <row r="34" spans="1:12" s="2" customFormat="1" ht="13.5" customHeight="1">
      <c r="A34" s="409" t="s">
        <v>512</v>
      </c>
      <c r="B34" s="409"/>
      <c r="C34" s="409"/>
      <c r="D34" s="409"/>
      <c r="E34" s="409"/>
      <c r="F34" s="409"/>
      <c r="G34" s="19">
        <v>151</v>
      </c>
      <c r="H34" s="20"/>
      <c r="I34" s="71"/>
      <c r="J34" s="71"/>
      <c r="L34" s="2" t="s">
        <v>2590</v>
      </c>
    </row>
    <row r="35" spans="1:12" s="2" customFormat="1" ht="13.5" customHeight="1">
      <c r="A35" s="409" t="s">
        <v>513</v>
      </c>
      <c r="B35" s="409"/>
      <c r="C35" s="409"/>
      <c r="D35" s="409"/>
      <c r="E35" s="409"/>
      <c r="F35" s="409"/>
      <c r="G35" s="19">
        <v>152</v>
      </c>
      <c r="H35" s="20"/>
      <c r="I35" s="71">
        <v>137725</v>
      </c>
      <c r="J35" s="71">
        <v>154227</v>
      </c>
      <c r="L35" s="2" t="s">
        <v>2590</v>
      </c>
    </row>
    <row r="36" spans="1:10" s="2" customFormat="1" ht="13.5" customHeight="1">
      <c r="A36" s="383" t="s">
        <v>1692</v>
      </c>
      <c r="B36" s="383"/>
      <c r="C36" s="383"/>
      <c r="D36" s="383"/>
      <c r="E36" s="383"/>
      <c r="F36" s="383"/>
      <c r="G36" s="19">
        <v>153</v>
      </c>
      <c r="H36" s="20"/>
      <c r="I36" s="71">
        <v>188993</v>
      </c>
      <c r="J36" s="71">
        <v>1246</v>
      </c>
    </row>
    <row r="37" spans="1:10" s="2" customFormat="1" ht="13.5" customHeight="1">
      <c r="A37" s="381" t="s">
        <v>1842</v>
      </c>
      <c r="B37" s="381"/>
      <c r="C37" s="381"/>
      <c r="D37" s="381"/>
      <c r="E37" s="381"/>
      <c r="F37" s="381"/>
      <c r="G37" s="19">
        <v>154</v>
      </c>
      <c r="H37" s="20"/>
      <c r="I37" s="70">
        <f>SUM(I38:I47)</f>
        <v>2635</v>
      </c>
      <c r="J37" s="70">
        <f>SUM(J38:J47)</f>
        <v>3196</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822</v>
      </c>
      <c r="J44" s="71">
        <v>23</v>
      </c>
    </row>
    <row r="45" spans="1:10" s="2" customFormat="1" ht="13.5" customHeight="1">
      <c r="A45" s="383" t="s">
        <v>1428</v>
      </c>
      <c r="B45" s="383"/>
      <c r="C45" s="383"/>
      <c r="D45" s="383"/>
      <c r="E45" s="383"/>
      <c r="F45" s="383"/>
      <c r="G45" s="19">
        <v>162</v>
      </c>
      <c r="H45" s="20"/>
      <c r="I45" s="71">
        <v>542</v>
      </c>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1271</v>
      </c>
      <c r="J47" s="71">
        <v>3173</v>
      </c>
    </row>
    <row r="48" spans="1:10" s="2" customFormat="1" ht="13.5" customHeight="1">
      <c r="A48" s="381" t="s">
        <v>1843</v>
      </c>
      <c r="B48" s="381"/>
      <c r="C48" s="381"/>
      <c r="D48" s="381"/>
      <c r="E48" s="381"/>
      <c r="F48" s="381"/>
      <c r="G48" s="19">
        <v>165</v>
      </c>
      <c r="H48" s="20"/>
      <c r="I48" s="70">
        <f>SUM(I49:I55)</f>
        <v>305761</v>
      </c>
      <c r="J48" s="70">
        <f>SUM(J49:J55)</f>
        <v>386021</v>
      </c>
    </row>
    <row r="49" spans="1:10" s="2" customFormat="1" ht="13.5" customHeight="1">
      <c r="A49" s="383" t="s">
        <v>1424</v>
      </c>
      <c r="B49" s="383"/>
      <c r="C49" s="383"/>
      <c r="D49" s="383"/>
      <c r="E49" s="383"/>
      <c r="F49" s="383"/>
      <c r="G49" s="19">
        <v>166</v>
      </c>
      <c r="H49" s="20"/>
      <c r="I49" s="71">
        <v>303771</v>
      </c>
      <c r="J49" s="71">
        <v>370491</v>
      </c>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182</v>
      </c>
      <c r="J51" s="71">
        <v>15478</v>
      </c>
    </row>
    <row r="52" spans="1:10" s="2" customFormat="1" ht="13.5" customHeight="1">
      <c r="A52" s="403" t="s">
        <v>1439</v>
      </c>
      <c r="B52" s="403"/>
      <c r="C52" s="403"/>
      <c r="D52" s="403"/>
      <c r="E52" s="403"/>
      <c r="F52" s="403"/>
      <c r="G52" s="19">
        <v>169</v>
      </c>
      <c r="H52" s="20"/>
      <c r="I52" s="71">
        <v>1634</v>
      </c>
      <c r="J52" s="71">
        <v>52</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2590</v>
      </c>
    </row>
    <row r="55" spans="1:10" s="2" customFormat="1" ht="13.5" customHeight="1">
      <c r="A55" s="403" t="s">
        <v>1442</v>
      </c>
      <c r="B55" s="403"/>
      <c r="C55" s="403"/>
      <c r="D55" s="403"/>
      <c r="E55" s="403"/>
      <c r="F55" s="403"/>
      <c r="G55" s="19">
        <v>172</v>
      </c>
      <c r="H55" s="20"/>
      <c r="I55" s="71">
        <v>174</v>
      </c>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6405197</v>
      </c>
      <c r="J60" s="70">
        <f>J8+J37+J56+J57</f>
        <v>6264176</v>
      </c>
    </row>
    <row r="61" spans="1:10" s="2" customFormat="1" ht="13.5" customHeight="1">
      <c r="A61" s="381" t="s">
        <v>1845</v>
      </c>
      <c r="B61" s="381"/>
      <c r="C61" s="381"/>
      <c r="D61" s="381"/>
      <c r="E61" s="381"/>
      <c r="F61" s="381"/>
      <c r="G61" s="19">
        <v>178</v>
      </c>
      <c r="H61" s="20"/>
      <c r="I61" s="70">
        <f>I14+I48+I58+I59</f>
        <v>8689129</v>
      </c>
      <c r="J61" s="70">
        <f>J14+J48+J58+J59</f>
        <v>8247928</v>
      </c>
    </row>
    <row r="62" spans="1:12" s="2" customFormat="1" ht="13.5" customHeight="1">
      <c r="A62" s="381" t="s">
        <v>2580</v>
      </c>
      <c r="B62" s="381"/>
      <c r="C62" s="381"/>
      <c r="D62" s="381"/>
      <c r="E62" s="381"/>
      <c r="F62" s="381"/>
      <c r="G62" s="19">
        <v>179</v>
      </c>
      <c r="H62" s="20"/>
      <c r="I62" s="70">
        <f>I60-I61</f>
        <v>-2283932</v>
      </c>
      <c r="J62" s="70">
        <f>J60-J61</f>
        <v>-1983752</v>
      </c>
      <c r="L62" s="2" t="s">
        <v>2590</v>
      </c>
    </row>
    <row r="63" spans="1:10" s="2" customFormat="1" ht="13.5" customHeight="1">
      <c r="A63" s="403" t="s">
        <v>2657</v>
      </c>
      <c r="B63" s="403"/>
      <c r="C63" s="403"/>
      <c r="D63" s="403"/>
      <c r="E63" s="403"/>
      <c r="F63" s="403"/>
      <c r="G63" s="19">
        <v>180</v>
      </c>
      <c r="H63" s="20"/>
      <c r="I63" s="70">
        <f>IF(I60&gt;I61,I60-I61,0)</f>
        <v>0</v>
      </c>
      <c r="J63" s="70">
        <f>IF(J60&gt;J61,J60-J61,0)</f>
        <v>0</v>
      </c>
    </row>
    <row r="64" spans="1:10" s="2" customFormat="1" ht="13.5" customHeight="1">
      <c r="A64" s="403" t="s">
        <v>778</v>
      </c>
      <c r="B64" s="403"/>
      <c r="C64" s="403"/>
      <c r="D64" s="403"/>
      <c r="E64" s="403"/>
      <c r="F64" s="403"/>
      <c r="G64" s="19">
        <v>181</v>
      </c>
      <c r="H64" s="20"/>
      <c r="I64" s="70">
        <f>IF(I61&gt;I60,I61-I60,0)</f>
        <v>2283932</v>
      </c>
      <c r="J64" s="70">
        <f>IF(J61&gt;J60,J61-J60,0)</f>
        <v>1983752</v>
      </c>
    </row>
    <row r="65" spans="1:12" s="2" customFormat="1" ht="13.5" customHeight="1">
      <c r="A65" s="381" t="s">
        <v>2619</v>
      </c>
      <c r="B65" s="381"/>
      <c r="C65" s="381"/>
      <c r="D65" s="381"/>
      <c r="E65" s="381"/>
      <c r="F65" s="381"/>
      <c r="G65" s="19">
        <v>182</v>
      </c>
      <c r="H65" s="20"/>
      <c r="I65" s="71">
        <v>22337</v>
      </c>
      <c r="J65" s="71">
        <v>-10932</v>
      </c>
      <c r="L65" s="2" t="s">
        <v>2590</v>
      </c>
    </row>
    <row r="66" spans="1:12" s="2" customFormat="1" ht="13.5" customHeight="1">
      <c r="A66" s="381" t="s">
        <v>2581</v>
      </c>
      <c r="B66" s="381"/>
      <c r="C66" s="381"/>
      <c r="D66" s="381"/>
      <c r="E66" s="381"/>
      <c r="F66" s="381"/>
      <c r="G66" s="19">
        <v>183</v>
      </c>
      <c r="H66" s="20"/>
      <c r="I66" s="70">
        <f>I62-I65</f>
        <v>-2306269</v>
      </c>
      <c r="J66" s="70">
        <f>J62-J65</f>
        <v>-1972820</v>
      </c>
      <c r="L66" s="2" t="s">
        <v>2590</v>
      </c>
    </row>
    <row r="67" spans="1:10" s="2" customFormat="1" ht="13.5" customHeight="1">
      <c r="A67" s="403" t="s">
        <v>779</v>
      </c>
      <c r="B67" s="403"/>
      <c r="C67" s="403"/>
      <c r="D67" s="403"/>
      <c r="E67" s="403"/>
      <c r="F67" s="403"/>
      <c r="G67" s="19">
        <v>184</v>
      </c>
      <c r="H67" s="20"/>
      <c r="I67" s="70">
        <f>IF(I66&gt;0,I66,0)</f>
        <v>0</v>
      </c>
      <c r="J67" s="70">
        <f>IF(J66&gt;0,J66,0)</f>
        <v>0</v>
      </c>
    </row>
    <row r="68" spans="1:10" s="2" customFormat="1" ht="13.5" customHeight="1">
      <c r="A68" s="404" t="s">
        <v>1472</v>
      </c>
      <c r="B68" s="404"/>
      <c r="C68" s="404"/>
      <c r="D68" s="404"/>
      <c r="E68" s="404"/>
      <c r="F68" s="404"/>
      <c r="G68" s="21">
        <v>185</v>
      </c>
      <c r="H68" s="22"/>
      <c r="I68" s="85">
        <f>IF(I66&lt;0,-I66,0)</f>
        <v>2306269</v>
      </c>
      <c r="J68" s="85">
        <f>IF(J66&lt;0,-J66,0)</f>
        <v>1972820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2590</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2590</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2590</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2590</v>
      </c>
    </row>
    <row r="81" spans="1:12" s="2" customFormat="1" ht="13.5" customHeight="1">
      <c r="A81" s="381" t="s">
        <v>2009</v>
      </c>
      <c r="B81" s="381"/>
      <c r="C81" s="381"/>
      <c r="D81" s="381"/>
      <c r="E81" s="381"/>
      <c r="F81" s="381"/>
      <c r="G81" s="19">
        <v>196</v>
      </c>
      <c r="H81" s="20"/>
      <c r="I81" s="70">
        <f>I82-I83</f>
        <v>0</v>
      </c>
      <c r="J81" s="70">
        <f>J82-J83</f>
        <v>0</v>
      </c>
      <c r="L81" s="2" t="s">
        <v>2590</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2851</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2590</v>
      </c>
    </row>
    <row r="86" spans="1:12" s="2" customFormat="1" ht="13.5" customHeight="1">
      <c r="A86" s="419" t="s">
        <v>2061</v>
      </c>
      <c r="B86" s="419"/>
      <c r="C86" s="419"/>
      <c r="D86" s="419"/>
      <c r="E86" s="419"/>
      <c r="F86" s="419"/>
      <c r="G86" s="19">
        <v>200</v>
      </c>
      <c r="H86" s="20"/>
      <c r="I86" s="77"/>
      <c r="J86" s="77"/>
      <c r="L86" s="2" t="s">
        <v>2590</v>
      </c>
    </row>
    <row r="87" spans="1:12" s="2" customFormat="1" ht="13.5" customHeight="1">
      <c r="A87" s="420" t="s">
        <v>1102</v>
      </c>
      <c r="B87" s="420"/>
      <c r="C87" s="420"/>
      <c r="D87" s="420"/>
      <c r="E87" s="420"/>
      <c r="F87" s="420"/>
      <c r="G87" s="21">
        <v>201</v>
      </c>
      <c r="H87" s="22"/>
      <c r="I87" s="78"/>
      <c r="J87" s="78"/>
      <c r="L87" s="2" t="s">
        <v>2590</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v>-2306269</v>
      </c>
      <c r="J89" s="77">
        <v>-1972820</v>
      </c>
      <c r="L89" s="2" t="s">
        <v>2590</v>
      </c>
    </row>
    <row r="90" spans="1:12" s="2" customFormat="1" ht="25.5" customHeight="1">
      <c r="A90" s="406" t="s">
        <v>1473</v>
      </c>
      <c r="B90" s="406"/>
      <c r="C90" s="406"/>
      <c r="D90" s="406"/>
      <c r="E90" s="406"/>
      <c r="F90" s="406"/>
      <c r="G90" s="19">
        <v>203</v>
      </c>
      <c r="H90" s="20"/>
      <c r="I90" s="86">
        <f>SUM(I91:I98)</f>
        <v>0</v>
      </c>
      <c r="J90" s="86">
        <f>SUM(J91:J98)</f>
        <v>0</v>
      </c>
      <c r="L90" s="2" t="s">
        <v>2590</v>
      </c>
    </row>
    <row r="91" spans="1:12" s="2" customFormat="1" ht="13.5" customHeight="1">
      <c r="A91" s="403" t="s">
        <v>2062</v>
      </c>
      <c r="B91" s="403"/>
      <c r="C91" s="403"/>
      <c r="D91" s="403"/>
      <c r="E91" s="403"/>
      <c r="F91" s="403"/>
      <c r="G91" s="19">
        <v>204</v>
      </c>
      <c r="H91" s="20"/>
      <c r="I91" s="77"/>
      <c r="J91" s="77"/>
      <c r="L91" s="2" t="s">
        <v>2590</v>
      </c>
    </row>
    <row r="92" spans="1:12" s="2" customFormat="1" ht="25.5" customHeight="1">
      <c r="A92" s="403" t="s">
        <v>2063</v>
      </c>
      <c r="B92" s="403"/>
      <c r="C92" s="403"/>
      <c r="D92" s="403"/>
      <c r="E92" s="403"/>
      <c r="F92" s="403"/>
      <c r="G92" s="19">
        <v>205</v>
      </c>
      <c r="H92" s="20"/>
      <c r="I92" s="77"/>
      <c r="J92" s="77"/>
      <c r="L92" s="2" t="s">
        <v>2590</v>
      </c>
    </row>
    <row r="93" spans="1:12" s="2" customFormat="1" ht="26.25" customHeight="1">
      <c r="A93" s="403" t="s">
        <v>2064</v>
      </c>
      <c r="B93" s="403"/>
      <c r="C93" s="403"/>
      <c r="D93" s="403"/>
      <c r="E93" s="403"/>
      <c r="F93" s="403"/>
      <c r="G93" s="19">
        <v>206</v>
      </c>
      <c r="H93" s="20"/>
      <c r="I93" s="77"/>
      <c r="J93" s="77"/>
      <c r="L93" s="2" t="s">
        <v>2590</v>
      </c>
    </row>
    <row r="94" spans="1:12" s="2" customFormat="1" ht="13.5" customHeight="1">
      <c r="A94" s="403" t="s">
        <v>2065</v>
      </c>
      <c r="B94" s="403"/>
      <c r="C94" s="403"/>
      <c r="D94" s="403"/>
      <c r="E94" s="403"/>
      <c r="F94" s="403"/>
      <c r="G94" s="19">
        <v>207</v>
      </c>
      <c r="H94" s="20"/>
      <c r="I94" s="77"/>
      <c r="J94" s="77"/>
      <c r="L94" s="2" t="s">
        <v>2590</v>
      </c>
    </row>
    <row r="95" spans="1:12" s="2" customFormat="1" ht="13.5" customHeight="1">
      <c r="A95" s="403" t="s">
        <v>2066</v>
      </c>
      <c r="B95" s="403"/>
      <c r="C95" s="403"/>
      <c r="D95" s="403"/>
      <c r="E95" s="403"/>
      <c r="F95" s="403"/>
      <c r="G95" s="19">
        <v>208</v>
      </c>
      <c r="H95" s="20"/>
      <c r="I95" s="77"/>
      <c r="J95" s="77"/>
      <c r="L95" s="2" t="s">
        <v>2590</v>
      </c>
    </row>
    <row r="96" spans="1:12" s="2" customFormat="1" ht="25.5" customHeight="1">
      <c r="A96" s="403" t="s">
        <v>2067</v>
      </c>
      <c r="B96" s="403"/>
      <c r="C96" s="403"/>
      <c r="D96" s="403"/>
      <c r="E96" s="403"/>
      <c r="F96" s="403"/>
      <c r="G96" s="19">
        <v>209</v>
      </c>
      <c r="H96" s="20"/>
      <c r="I96" s="77"/>
      <c r="J96" s="77"/>
      <c r="L96" s="2" t="s">
        <v>2590</v>
      </c>
    </row>
    <row r="97" spans="1:12" s="2" customFormat="1" ht="13.5" customHeight="1">
      <c r="A97" s="403" t="s">
        <v>759</v>
      </c>
      <c r="B97" s="403"/>
      <c r="C97" s="403"/>
      <c r="D97" s="403"/>
      <c r="E97" s="403"/>
      <c r="F97" s="403"/>
      <c r="G97" s="19">
        <v>210</v>
      </c>
      <c r="H97" s="20"/>
      <c r="I97" s="77"/>
      <c r="J97" s="77"/>
      <c r="L97" s="2" t="s">
        <v>2590</v>
      </c>
    </row>
    <row r="98" spans="1:12" s="2" customFormat="1" ht="13.5" customHeight="1">
      <c r="A98" s="403" t="s">
        <v>1449</v>
      </c>
      <c r="B98" s="403"/>
      <c r="C98" s="403"/>
      <c r="D98" s="403"/>
      <c r="E98" s="403"/>
      <c r="F98" s="403"/>
      <c r="G98" s="19">
        <v>211</v>
      </c>
      <c r="H98" s="20"/>
      <c r="I98" s="77"/>
      <c r="J98" s="77"/>
      <c r="L98" s="2" t="s">
        <v>2590</v>
      </c>
    </row>
    <row r="99" spans="1:12" s="2" customFormat="1" ht="13.5" customHeight="1">
      <c r="A99" s="406" t="s">
        <v>2620</v>
      </c>
      <c r="B99" s="406"/>
      <c r="C99" s="406"/>
      <c r="D99" s="406"/>
      <c r="E99" s="406"/>
      <c r="F99" s="406"/>
      <c r="G99" s="19">
        <v>212</v>
      </c>
      <c r="H99" s="20"/>
      <c r="I99" s="77"/>
      <c r="J99" s="77"/>
      <c r="L99" s="2" t="s">
        <v>2590</v>
      </c>
    </row>
    <row r="100" spans="1:12" s="2" customFormat="1" ht="15" customHeight="1">
      <c r="A100" s="406" t="s">
        <v>1474</v>
      </c>
      <c r="B100" s="406"/>
      <c r="C100" s="406"/>
      <c r="D100" s="406"/>
      <c r="E100" s="406"/>
      <c r="F100" s="406"/>
      <c r="G100" s="19">
        <v>213</v>
      </c>
      <c r="H100" s="20"/>
      <c r="I100" s="86">
        <f>I90-I99</f>
        <v>0</v>
      </c>
      <c r="J100" s="86">
        <f>J90-J99</f>
        <v>0</v>
      </c>
      <c r="L100" s="2" t="s">
        <v>2590</v>
      </c>
    </row>
    <row r="101" spans="1:12" s="2" customFormat="1" ht="13.5" customHeight="1">
      <c r="A101" s="421" t="s">
        <v>1475</v>
      </c>
      <c r="B101" s="421"/>
      <c r="C101" s="421"/>
      <c r="D101" s="421"/>
      <c r="E101" s="421"/>
      <c r="F101" s="421"/>
      <c r="G101" s="21">
        <v>214</v>
      </c>
      <c r="H101" s="22"/>
      <c r="I101" s="87">
        <f>I89+I100</f>
        <v>-2306269</v>
      </c>
      <c r="J101" s="87">
        <f>J89+J100</f>
        <v>-1972820</v>
      </c>
      <c r="L101" s="2" t="s">
        <v>2590</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2590</v>
      </c>
    </row>
    <row r="104" spans="1:12" s="2" customFormat="1" ht="13.5" customHeight="1">
      <c r="A104" s="419" t="s">
        <v>2621</v>
      </c>
      <c r="B104" s="419"/>
      <c r="C104" s="419"/>
      <c r="D104" s="419"/>
      <c r="E104" s="419"/>
      <c r="F104" s="419"/>
      <c r="G104" s="19">
        <v>216</v>
      </c>
      <c r="H104" s="20"/>
      <c r="I104" s="77"/>
      <c r="J104" s="77"/>
      <c r="L104" s="2" t="s">
        <v>2590</v>
      </c>
    </row>
    <row r="105" spans="1:12" s="2" customFormat="1" ht="13.5" customHeight="1">
      <c r="A105" s="420" t="s">
        <v>1450</v>
      </c>
      <c r="B105" s="420"/>
      <c r="C105" s="420"/>
      <c r="D105" s="420"/>
      <c r="E105" s="420"/>
      <c r="F105" s="420"/>
      <c r="G105" s="21">
        <v>217</v>
      </c>
      <c r="H105" s="22"/>
      <c r="I105" s="78"/>
      <c r="J105" s="78"/>
      <c r="L105" s="2" t="s">
        <v>2590</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62:J62 I70:J70 I73:J73 I77:J77 I89:J101 I85:J87 I80:J81 I15:J15 I26:J35 I54:J54 I65:J66">
    <cfRule type="cellIs" priority="38" dxfId="2" operator="notEqual" stopIfTrue="1">
      <formula>ROUND(I15,0)</formula>
    </cfRule>
  </conditionalFormatting>
  <conditionalFormatting sqref="I78:J79 I67:J68 I74:J75 I82:J83 I63:J64 I71:J72 I8:J14 I16:J25 I55:J61 I36:J53">
    <cfRule type="cellIs" priority="39" dxfId="2" operator="notEqual" stopIfTrue="1">
      <formula>ROUND(I8,0)</formula>
    </cfRule>
    <cfRule type="cellIs" priority="40" dxfId="1" operator="lessThan" stopIfTrue="1">
      <formula>0</formula>
    </cfRule>
  </conditionalFormatting>
  <conditionalFormatting sqref="I9:J13">
    <cfRule type="cellIs" priority="36" dxfId="2" operator="notEqual" stopIfTrue="1">
      <formula>ROUND(I9,0)</formula>
    </cfRule>
    <cfRule type="cellIs" priority="37" dxfId="1" operator="lessThan" stopIfTrue="1">
      <formula>0</formula>
    </cfRule>
  </conditionalFormatting>
  <conditionalFormatting sqref="I9:I13">
    <cfRule type="cellIs" priority="34" dxfId="2" operator="notEqual" stopIfTrue="1">
      <formula>ROUND(I9,0)</formula>
    </cfRule>
    <cfRule type="cellIs" priority="35" dxfId="1" operator="lessThan" stopIfTrue="1">
      <formula>0</formula>
    </cfRule>
  </conditionalFormatting>
  <conditionalFormatting sqref="I15:J15">
    <cfRule type="cellIs" priority="33" dxfId="2" operator="notEqual" stopIfTrue="1">
      <formula>ROUND(I15,0)</formula>
    </cfRule>
  </conditionalFormatting>
  <conditionalFormatting sqref="I17:J19">
    <cfRule type="cellIs" priority="31" dxfId="2" operator="notEqual" stopIfTrue="1">
      <formula>ROUND(I17,0)</formula>
    </cfRule>
    <cfRule type="cellIs" priority="32" dxfId="1" operator="lessThan" stopIfTrue="1">
      <formula>0</formula>
    </cfRule>
  </conditionalFormatting>
  <conditionalFormatting sqref="I21:J25">
    <cfRule type="cellIs" priority="29" dxfId="2" operator="notEqual" stopIfTrue="1">
      <formula>ROUND(I21,0)</formula>
    </cfRule>
    <cfRule type="cellIs" priority="30" dxfId="1" operator="lessThan" stopIfTrue="1">
      <formula>0</formula>
    </cfRule>
  </conditionalFormatting>
  <conditionalFormatting sqref="J28">
    <cfRule type="cellIs" priority="28" dxfId="2" operator="notEqual" stopIfTrue="1">
      <formula>ROUND(J28,0)</formula>
    </cfRule>
  </conditionalFormatting>
  <conditionalFormatting sqref="I30:J32">
    <cfRule type="cellIs" priority="27" dxfId="2" operator="notEqual" stopIfTrue="1">
      <formula>ROUND(I30,0)</formula>
    </cfRule>
  </conditionalFormatting>
  <conditionalFormatting sqref="I35:J35">
    <cfRule type="cellIs" priority="26" dxfId="2" operator="notEqual" stopIfTrue="1">
      <formula>ROUND(I35,0)</formula>
    </cfRule>
  </conditionalFormatting>
  <conditionalFormatting sqref="I36:J36">
    <cfRule type="cellIs" priority="24" dxfId="2" operator="notEqual" stopIfTrue="1">
      <formula>ROUND(I36,0)</formula>
    </cfRule>
    <cfRule type="cellIs" priority="25" dxfId="1" operator="lessThan" stopIfTrue="1">
      <formula>0</formula>
    </cfRule>
  </conditionalFormatting>
  <conditionalFormatting sqref="I44:J47">
    <cfRule type="cellIs" priority="22" dxfId="2" operator="notEqual" stopIfTrue="1">
      <formula>ROUND(I44,0)</formula>
    </cfRule>
    <cfRule type="cellIs" priority="23" dxfId="1" operator="lessThan" stopIfTrue="1">
      <formula>0</formula>
    </cfRule>
  </conditionalFormatting>
  <conditionalFormatting sqref="I54:J54">
    <cfRule type="cellIs" priority="21" dxfId="2" operator="notEqual" stopIfTrue="1">
      <formula>ROUND(I54,0)</formula>
    </cfRule>
  </conditionalFormatting>
  <conditionalFormatting sqref="I49:J53 I55:J55">
    <cfRule type="cellIs" priority="19" dxfId="2" operator="notEqual" stopIfTrue="1">
      <formula>ROUND(I49,0)</formula>
    </cfRule>
    <cfRule type="cellIs" priority="20" dxfId="1" operator="lessThan" stopIfTrue="1">
      <formula>0</formula>
    </cfRule>
  </conditionalFormatting>
  <conditionalFormatting sqref="I65:J65">
    <cfRule type="cellIs" priority="18" dxfId="2" operator="notEqual" stopIfTrue="1">
      <formula>ROUND(I65,0)</formula>
    </cfRule>
  </conditionalFormatting>
  <conditionalFormatting sqref="I28">
    <cfRule type="cellIs" priority="17" dxfId="2" operator="notEqual" stopIfTrue="1">
      <formula>ROUND(I28,0)</formula>
    </cfRule>
  </conditionalFormatting>
  <conditionalFormatting sqref="J9:J13">
    <cfRule type="cellIs" priority="15" dxfId="2" operator="notEqual" stopIfTrue="1">
      <formula>ROUND(J9,0)</formula>
    </cfRule>
    <cfRule type="cellIs" priority="16" dxfId="1" operator="lessThan" stopIfTrue="1">
      <formula>0</formula>
    </cfRule>
  </conditionalFormatting>
  <conditionalFormatting sqref="J15">
    <cfRule type="cellIs" priority="14" dxfId="2" operator="notEqual" stopIfTrue="1">
      <formula>ROUND(J15,0)</formula>
    </cfRule>
  </conditionalFormatting>
  <conditionalFormatting sqref="J17:J19">
    <cfRule type="cellIs" priority="12" dxfId="2" operator="notEqual" stopIfTrue="1">
      <formula>ROUND(J17,0)</formula>
    </cfRule>
    <cfRule type="cellIs" priority="13" dxfId="1" operator="lessThan" stopIfTrue="1">
      <formula>0</formula>
    </cfRule>
  </conditionalFormatting>
  <conditionalFormatting sqref="J21:J25">
    <cfRule type="cellIs" priority="10" dxfId="2" operator="notEqual" stopIfTrue="1">
      <formula>ROUND(J21,0)</formula>
    </cfRule>
    <cfRule type="cellIs" priority="11" dxfId="1" operator="lessThan" stopIfTrue="1">
      <formula>0</formula>
    </cfRule>
  </conditionalFormatting>
  <conditionalFormatting sqref="J30:J35">
    <cfRule type="cellIs" priority="9" dxfId="2" operator="notEqual" stopIfTrue="1">
      <formula>ROUND(J30,0)</formula>
    </cfRule>
  </conditionalFormatting>
  <conditionalFormatting sqref="J36">
    <cfRule type="cellIs" priority="7" dxfId="2" operator="notEqual" stopIfTrue="1">
      <formula>ROUND(J36,0)</formula>
    </cfRule>
    <cfRule type="cellIs" priority="8" dxfId="1" operator="lessThan" stopIfTrue="1">
      <formula>0</formula>
    </cfRule>
  </conditionalFormatting>
  <conditionalFormatting sqref="J44:J47">
    <cfRule type="cellIs" priority="5" dxfId="2" operator="notEqual" stopIfTrue="1">
      <formula>ROUND(J44,0)</formula>
    </cfRule>
    <cfRule type="cellIs" priority="6" dxfId="1" operator="lessThan" stopIfTrue="1">
      <formula>0</formula>
    </cfRule>
  </conditionalFormatting>
  <conditionalFormatting sqref="J49:J52">
    <cfRule type="cellIs" priority="3" dxfId="2" operator="notEqual" stopIfTrue="1">
      <formula>ROUND(J49,0)</formula>
    </cfRule>
    <cfRule type="cellIs" priority="4" dxfId="1" operator="lessThan" stopIfTrue="1">
      <formula>0</formula>
    </cfRule>
  </conditionalFormatting>
  <conditionalFormatting sqref="J65">
    <cfRule type="cellIs" priority="2" dxfId="2" operator="notEqual" stopIfTrue="1">
      <formula>ROUND(J65,0)</formula>
    </cfRule>
  </conditionalFormatting>
  <conditionalFormatting sqref="I89:J89">
    <cfRule type="cellIs" priority="1" dxfId="2" operator="notEqual" stopIfTrue="1">
      <formula>ROUND(I89,0)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32" t="s">
        <v>568</v>
      </c>
      <c r="B2" s="433"/>
      <c r="C2" s="433"/>
      <c r="D2" s="433"/>
      <c r="E2" s="433"/>
      <c r="F2" s="433"/>
      <c r="G2" s="433"/>
      <c r="H2" s="433"/>
      <c r="I2" s="434"/>
      <c r="J2" s="388" t="s">
        <v>2592</v>
      </c>
      <c r="Q2" s="74">
        <f>IF(MAX(I9:I88)&gt;0,1,0)</f>
        <v>0</v>
      </c>
      <c r="R2" s="73" t="s">
        <v>2585</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0</v>
      </c>
      <c r="R3" s="73" t="s">
        <v>2586</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37620818018; AGM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1.25">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2899</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2900</v>
      </c>
      <c r="B25" s="441"/>
      <c r="C25" s="441"/>
      <c r="D25" s="441"/>
      <c r="E25" s="441"/>
      <c r="F25" s="441"/>
      <c r="G25" s="442"/>
      <c r="H25" s="92">
        <v>231</v>
      </c>
      <c r="I25" s="94"/>
      <c r="J25" s="94"/>
    </row>
    <row r="26" spans="1:10" s="2" customFormat="1" ht="24.75" customHeight="1">
      <c r="A26" s="403" t="s">
        <v>2214</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2215</v>
      </c>
      <c r="B33" s="403"/>
      <c r="C33" s="403"/>
      <c r="D33" s="403"/>
      <c r="E33" s="403"/>
      <c r="F33" s="403"/>
      <c r="G33" s="443"/>
      <c r="H33" s="19">
        <v>239</v>
      </c>
      <c r="I33" s="77"/>
      <c r="J33" s="77"/>
    </row>
    <row r="34" spans="1:10" s="2" customFormat="1" ht="36" customHeight="1">
      <c r="A34" s="403" t="s">
        <v>2216</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2901</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2217</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2218</v>
      </c>
      <c r="B51" s="403"/>
      <c r="C51" s="403"/>
      <c r="D51" s="403"/>
      <c r="E51" s="403"/>
      <c r="F51" s="403"/>
      <c r="G51" s="443"/>
      <c r="H51" s="19">
        <v>253</v>
      </c>
      <c r="I51" s="77"/>
      <c r="J51" s="77"/>
    </row>
    <row r="52" spans="1:10" s="2" customFormat="1" ht="24.75" customHeight="1">
      <c r="A52" s="403" t="s">
        <v>2442</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2433</v>
      </c>
      <c r="B55" s="403"/>
      <c r="C55" s="403"/>
      <c r="D55" s="403"/>
      <c r="E55" s="403"/>
      <c r="F55" s="403"/>
      <c r="G55" s="443"/>
      <c r="H55" s="19">
        <v>257</v>
      </c>
      <c r="I55" s="77"/>
      <c r="J55" s="77"/>
    </row>
    <row r="56" spans="1:10" s="2" customFormat="1" ht="13.5" customHeight="1">
      <c r="A56" s="403" t="s">
        <v>2434</v>
      </c>
      <c r="B56" s="403"/>
      <c r="C56" s="403"/>
      <c r="D56" s="403"/>
      <c r="E56" s="403"/>
      <c r="F56" s="403"/>
      <c r="G56" s="443"/>
      <c r="H56" s="19">
        <v>258</v>
      </c>
      <c r="I56" s="77"/>
      <c r="J56" s="77"/>
    </row>
    <row r="57" spans="1:10" s="2" customFormat="1" ht="25.5" customHeight="1">
      <c r="A57" s="403" t="s">
        <v>2443</v>
      </c>
      <c r="B57" s="403"/>
      <c r="C57" s="403"/>
      <c r="D57" s="403"/>
      <c r="E57" s="403"/>
      <c r="F57" s="403"/>
      <c r="G57" s="443"/>
      <c r="H57" s="19">
        <v>259</v>
      </c>
      <c r="I57" s="77"/>
      <c r="J57" s="77"/>
    </row>
    <row r="58" spans="1:10" s="2" customFormat="1" ht="13.5" customHeight="1">
      <c r="A58" s="403" t="s">
        <v>2435</v>
      </c>
      <c r="B58" s="403"/>
      <c r="C58" s="403"/>
      <c r="D58" s="403"/>
      <c r="E58" s="403"/>
      <c r="F58" s="403"/>
      <c r="G58" s="443"/>
      <c r="H58" s="19">
        <v>260</v>
      </c>
      <c r="I58" s="77"/>
      <c r="J58" s="77"/>
    </row>
    <row r="59" spans="1:10" s="2" customFormat="1" ht="13.5" customHeight="1">
      <c r="A59" s="403" t="s">
        <v>2436</v>
      </c>
      <c r="B59" s="403"/>
      <c r="C59" s="403"/>
      <c r="D59" s="403"/>
      <c r="E59" s="403"/>
      <c r="F59" s="403"/>
      <c r="G59" s="443"/>
      <c r="H59" s="19">
        <v>261</v>
      </c>
      <c r="I59" s="77"/>
      <c r="J59" s="77"/>
    </row>
    <row r="60" spans="1:10" s="2" customFormat="1" ht="13.5" customHeight="1">
      <c r="A60" s="403" t="s">
        <v>2437</v>
      </c>
      <c r="B60" s="403"/>
      <c r="C60" s="403"/>
      <c r="D60" s="403"/>
      <c r="E60" s="403"/>
      <c r="F60" s="403"/>
      <c r="G60" s="443"/>
      <c r="H60" s="19">
        <v>262</v>
      </c>
      <c r="I60" s="77"/>
      <c r="J60" s="77"/>
    </row>
    <row r="61" spans="1:10" s="2" customFormat="1" ht="13.5" customHeight="1">
      <c r="A61" s="444" t="s">
        <v>2444</v>
      </c>
      <c r="B61" s="444"/>
      <c r="C61" s="444"/>
      <c r="D61" s="444"/>
      <c r="E61" s="444"/>
      <c r="F61" s="444"/>
      <c r="G61" s="445"/>
      <c r="H61" s="19">
        <v>263</v>
      </c>
      <c r="I61" s="77"/>
      <c r="J61" s="77"/>
    </row>
    <row r="62" spans="1:10" s="2" customFormat="1" ht="13.5" customHeight="1">
      <c r="A62" s="403" t="s">
        <v>2438</v>
      </c>
      <c r="B62" s="403"/>
      <c r="C62" s="403"/>
      <c r="D62" s="403"/>
      <c r="E62" s="403"/>
      <c r="F62" s="403"/>
      <c r="G62" s="443"/>
      <c r="H62" s="19">
        <v>264</v>
      </c>
      <c r="I62" s="77"/>
      <c r="J62" s="77"/>
    </row>
    <row r="63" spans="1:10" s="2" customFormat="1" ht="13.5" customHeight="1">
      <c r="A63" s="403" t="s">
        <v>2439</v>
      </c>
      <c r="B63" s="403"/>
      <c r="C63" s="403"/>
      <c r="D63" s="403"/>
      <c r="E63" s="403"/>
      <c r="F63" s="403"/>
      <c r="G63" s="443"/>
      <c r="H63" s="19">
        <v>265</v>
      </c>
      <c r="I63" s="77"/>
      <c r="J63" s="77"/>
    </row>
    <row r="64" spans="1:10" s="2" customFormat="1" ht="13.5" customHeight="1">
      <c r="A64" s="403" t="s">
        <v>2440</v>
      </c>
      <c r="B64" s="403"/>
      <c r="C64" s="403"/>
      <c r="D64" s="403"/>
      <c r="E64" s="403"/>
      <c r="F64" s="403"/>
      <c r="G64" s="443"/>
      <c r="H64" s="19">
        <v>266</v>
      </c>
      <c r="I64" s="77"/>
      <c r="J64" s="77"/>
    </row>
    <row r="65" spans="1:10" s="2" customFormat="1" ht="13.5" customHeight="1">
      <c r="A65" s="403" t="s">
        <v>2441</v>
      </c>
      <c r="B65" s="403"/>
      <c r="C65" s="403"/>
      <c r="D65" s="403"/>
      <c r="E65" s="403"/>
      <c r="F65" s="403"/>
      <c r="G65" s="443"/>
      <c r="H65" s="19">
        <v>267</v>
      </c>
      <c r="I65" s="77"/>
      <c r="J65" s="77"/>
    </row>
    <row r="66" spans="1:10" s="2" customFormat="1" ht="13.5" customHeight="1">
      <c r="A66" s="444" t="s">
        <v>2902</v>
      </c>
      <c r="B66" s="444"/>
      <c r="C66" s="444"/>
      <c r="D66" s="444"/>
      <c r="E66" s="444"/>
      <c r="F66" s="444"/>
      <c r="G66" s="445"/>
      <c r="H66" s="19">
        <v>268</v>
      </c>
      <c r="I66" s="77"/>
      <c r="J66" s="77"/>
    </row>
    <row r="67" spans="1:10" s="2" customFormat="1" ht="24.75" customHeight="1">
      <c r="A67" s="403" t="s">
        <v>2219</v>
      </c>
      <c r="B67" s="403"/>
      <c r="C67" s="403"/>
      <c r="D67" s="403"/>
      <c r="E67" s="403"/>
      <c r="F67" s="403"/>
      <c r="G67" s="443"/>
      <c r="H67" s="19">
        <v>269</v>
      </c>
      <c r="I67" s="77"/>
      <c r="J67" s="77"/>
    </row>
    <row r="68" spans="1:10" s="2" customFormat="1" ht="13.5" customHeight="1">
      <c r="A68" s="403" t="s">
        <v>2447</v>
      </c>
      <c r="B68" s="403"/>
      <c r="C68" s="403"/>
      <c r="D68" s="403"/>
      <c r="E68" s="403"/>
      <c r="F68" s="403"/>
      <c r="G68" s="443"/>
      <c r="H68" s="19">
        <v>270</v>
      </c>
      <c r="I68" s="77"/>
      <c r="J68" s="77"/>
    </row>
    <row r="69" spans="1:10" s="2" customFormat="1" ht="13.5" customHeight="1">
      <c r="A69" s="403" t="s">
        <v>2446</v>
      </c>
      <c r="B69" s="403"/>
      <c r="C69" s="403"/>
      <c r="D69" s="403"/>
      <c r="E69" s="403"/>
      <c r="F69" s="403"/>
      <c r="G69" s="443"/>
      <c r="H69" s="19">
        <v>271</v>
      </c>
      <c r="I69" s="77"/>
      <c r="J69" s="77"/>
    </row>
    <row r="70" spans="1:10" s="2" customFormat="1" ht="24.75" customHeight="1">
      <c r="A70" s="403" t="s">
        <v>2445</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2220</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2593</v>
      </c>
      <c r="Q2" s="74">
        <f>IF(OR(MIN(I8:I60)&lt;0,MAX(I8:I60)&gt;0),1,0)</f>
        <v>0</v>
      </c>
      <c r="R2" s="73" t="s">
        <v>2585</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2586</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37620818018; AGM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2334</v>
      </c>
      <c r="B11" s="444"/>
      <c r="C11" s="444"/>
      <c r="D11" s="444"/>
      <c r="E11" s="444"/>
      <c r="F11" s="444"/>
      <c r="G11" s="19">
        <v>3</v>
      </c>
      <c r="H11" s="23"/>
      <c r="I11" s="126"/>
      <c r="J11" s="126"/>
    </row>
    <row r="12" spans="1:10" s="2" customFormat="1" ht="24.75" customHeight="1">
      <c r="A12" s="444" t="s">
        <v>2909</v>
      </c>
      <c r="B12" s="444"/>
      <c r="C12" s="444"/>
      <c r="D12" s="444"/>
      <c r="E12" s="444"/>
      <c r="F12" s="444"/>
      <c r="G12" s="19">
        <v>4</v>
      </c>
      <c r="H12" s="23"/>
      <c r="I12" s="126"/>
      <c r="J12" s="126"/>
    </row>
    <row r="13" spans="1:10" s="2" customFormat="1" ht="24.75" customHeight="1">
      <c r="A13" s="444" t="s">
        <v>2910</v>
      </c>
      <c r="B13" s="444"/>
      <c r="C13" s="444"/>
      <c r="D13" s="444"/>
      <c r="E13" s="444"/>
      <c r="F13" s="444"/>
      <c r="G13" s="19">
        <v>5</v>
      </c>
      <c r="H13" s="23"/>
      <c r="I13" s="126"/>
      <c r="J13" s="126"/>
    </row>
    <row r="14" spans="1:12" s="2" customFormat="1" ht="13.5" customHeight="1">
      <c r="A14" s="444" t="s">
        <v>2335</v>
      </c>
      <c r="B14" s="444"/>
      <c r="C14" s="444"/>
      <c r="D14" s="444"/>
      <c r="E14" s="444"/>
      <c r="F14" s="444"/>
      <c r="G14" s="19">
        <v>6</v>
      </c>
      <c r="H14" s="23"/>
      <c r="I14" s="126"/>
      <c r="J14" s="126"/>
      <c r="L14" s="73"/>
    </row>
    <row r="15" spans="1:10" s="2" customFormat="1" ht="13.5" customHeight="1">
      <c r="A15" s="444" t="s">
        <v>2336</v>
      </c>
      <c r="B15" s="444"/>
      <c r="C15" s="444"/>
      <c r="D15" s="444"/>
      <c r="E15" s="444"/>
      <c r="F15" s="444"/>
      <c r="G15" s="19">
        <v>7</v>
      </c>
      <c r="H15" s="23"/>
      <c r="I15" s="126"/>
      <c r="J15" s="126"/>
    </row>
    <row r="16" spans="1:10" s="2" customFormat="1" ht="13.5" customHeight="1">
      <c r="A16" s="444" t="s">
        <v>2337</v>
      </c>
      <c r="B16" s="444"/>
      <c r="C16" s="444"/>
      <c r="D16" s="444"/>
      <c r="E16" s="444"/>
      <c r="F16" s="444"/>
      <c r="G16" s="19">
        <v>8</v>
      </c>
      <c r="H16" s="23"/>
      <c r="I16" s="126"/>
      <c r="J16" s="126"/>
    </row>
    <row r="17" spans="1:10" s="2" customFormat="1" ht="13.5" customHeight="1">
      <c r="A17" s="444" t="s">
        <v>2338</v>
      </c>
      <c r="B17" s="444"/>
      <c r="C17" s="444"/>
      <c r="D17" s="444"/>
      <c r="E17" s="444"/>
      <c r="F17" s="444"/>
      <c r="G17" s="19">
        <v>9</v>
      </c>
      <c r="H17" s="23"/>
      <c r="I17" s="126"/>
      <c r="J17" s="126"/>
    </row>
    <row r="18" spans="1:10" s="2" customFormat="1" ht="13.5" customHeight="1">
      <c r="A18" s="444" t="s">
        <v>2908</v>
      </c>
      <c r="B18" s="444"/>
      <c r="C18" s="444"/>
      <c r="D18" s="444"/>
      <c r="E18" s="444"/>
      <c r="F18" s="444"/>
      <c r="G18" s="19">
        <v>10</v>
      </c>
      <c r="H18" s="23"/>
      <c r="I18" s="126"/>
      <c r="J18" s="126"/>
    </row>
    <row r="19" spans="1:14" s="2" customFormat="1" ht="24.75" customHeight="1">
      <c r="A19" s="406" t="s">
        <v>2907</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2523</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2522</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2425</v>
      </c>
      <c r="B42" s="406"/>
      <c r="C42" s="406"/>
      <c r="D42" s="406"/>
      <c r="E42" s="406"/>
      <c r="F42" s="406"/>
      <c r="G42" s="19">
        <v>33</v>
      </c>
      <c r="H42" s="23"/>
      <c r="I42" s="86">
        <f>SUM(I37:I41)</f>
        <v>0</v>
      </c>
      <c r="J42" s="86">
        <f>SUM(J37:J41)</f>
        <v>0</v>
      </c>
    </row>
    <row r="43" spans="1:10" s="2" customFormat="1" ht="13.5" customHeight="1">
      <c r="A43" s="449" t="s">
        <v>2510</v>
      </c>
      <c r="B43" s="449"/>
      <c r="C43" s="449"/>
      <c r="D43" s="449"/>
      <c r="E43" s="449"/>
      <c r="F43" s="449"/>
      <c r="G43" s="21">
        <v>34</v>
      </c>
      <c r="H43" s="24"/>
      <c r="I43" s="87">
        <f>I36+I42</f>
        <v>0</v>
      </c>
      <c r="J43" s="87">
        <f>J36+J42</f>
        <v>0</v>
      </c>
    </row>
    <row r="44" spans="1:10" s="2" customFormat="1" ht="15" customHeight="1">
      <c r="A44" s="438" t="s">
        <v>2426</v>
      </c>
      <c r="B44" s="439"/>
      <c r="C44" s="439"/>
      <c r="D44" s="439"/>
      <c r="E44" s="439"/>
      <c r="F44" s="439"/>
      <c r="G44" s="439"/>
      <c r="H44" s="439"/>
      <c r="I44" s="439"/>
      <c r="J44" s="440"/>
    </row>
    <row r="45" spans="1:10" s="2" customFormat="1" ht="13.5" customHeight="1">
      <c r="A45" s="441" t="s">
        <v>2429</v>
      </c>
      <c r="B45" s="441"/>
      <c r="C45" s="441"/>
      <c r="D45" s="441"/>
      <c r="E45" s="441"/>
      <c r="F45" s="441"/>
      <c r="G45" s="92">
        <v>35</v>
      </c>
      <c r="H45" s="124"/>
      <c r="I45" s="94"/>
      <c r="J45" s="94"/>
    </row>
    <row r="46" spans="1:10" s="2" customFormat="1" ht="13.5" customHeight="1">
      <c r="A46" s="403" t="s">
        <v>2430</v>
      </c>
      <c r="B46" s="403"/>
      <c r="C46" s="403"/>
      <c r="D46" s="403"/>
      <c r="E46" s="403"/>
      <c r="F46" s="403"/>
      <c r="G46" s="19">
        <v>36</v>
      </c>
      <c r="H46" s="23"/>
      <c r="I46" s="77"/>
      <c r="J46" s="77"/>
    </row>
    <row r="47" spans="1:10" s="2" customFormat="1" ht="13.5" customHeight="1">
      <c r="A47" s="403" t="s">
        <v>2431</v>
      </c>
      <c r="B47" s="403"/>
      <c r="C47" s="403"/>
      <c r="D47" s="403"/>
      <c r="E47" s="403"/>
      <c r="F47" s="403"/>
      <c r="G47" s="19">
        <v>37</v>
      </c>
      <c r="H47" s="23"/>
      <c r="I47" s="77"/>
      <c r="J47" s="77"/>
    </row>
    <row r="48" spans="1:10" s="2" customFormat="1" ht="13.5" customHeight="1">
      <c r="A48" s="403" t="s">
        <v>2432</v>
      </c>
      <c r="B48" s="403"/>
      <c r="C48" s="403"/>
      <c r="D48" s="403"/>
      <c r="E48" s="403"/>
      <c r="F48" s="403"/>
      <c r="G48" s="19">
        <v>38</v>
      </c>
      <c r="H48" s="23"/>
      <c r="I48" s="77"/>
      <c r="J48" s="77"/>
    </row>
    <row r="49" spans="1:10" s="2" customFormat="1" ht="13.5" customHeight="1">
      <c r="A49" s="406" t="s">
        <v>2521</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2911</v>
      </c>
      <c r="B54" s="403"/>
      <c r="C54" s="403"/>
      <c r="D54" s="403"/>
      <c r="E54" s="403"/>
      <c r="F54" s="403"/>
      <c r="G54" s="19">
        <v>44</v>
      </c>
      <c r="H54" s="23"/>
      <c r="I54" s="77"/>
      <c r="J54" s="77"/>
    </row>
    <row r="55" spans="1:10" s="2" customFormat="1" ht="13.5" customHeight="1">
      <c r="A55" s="406" t="s">
        <v>2912</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2427</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2428</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2594</v>
      </c>
      <c r="Q2" s="74">
        <f>IF(OR(MIN(I8:I52)&lt;0,MAX(I8:I52)&gt;0),1,0)</f>
        <v>0</v>
      </c>
      <c r="R2" s="73" t="s">
        <v>2585</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37620818018; AGM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2526</v>
      </c>
      <c r="B9" s="441"/>
      <c r="C9" s="441"/>
      <c r="D9" s="441"/>
      <c r="E9" s="441"/>
      <c r="F9" s="441"/>
      <c r="G9" s="92">
        <v>1</v>
      </c>
      <c r="H9" s="124"/>
      <c r="I9" s="94"/>
      <c r="J9" s="94"/>
    </row>
    <row r="10" spans="1:10" s="2" customFormat="1" ht="13.5" customHeight="1">
      <c r="A10" s="403" t="s">
        <v>2527</v>
      </c>
      <c r="B10" s="403"/>
      <c r="C10" s="403"/>
      <c r="D10" s="403"/>
      <c r="E10" s="403"/>
      <c r="F10" s="403"/>
      <c r="G10" s="19">
        <v>2</v>
      </c>
      <c r="H10" s="23"/>
      <c r="I10" s="77"/>
      <c r="J10" s="77"/>
    </row>
    <row r="11" spans="1:10" s="2" customFormat="1" ht="13.5" customHeight="1">
      <c r="A11" s="403" t="s">
        <v>2528</v>
      </c>
      <c r="B11" s="403"/>
      <c r="C11" s="403"/>
      <c r="D11" s="403"/>
      <c r="E11" s="403"/>
      <c r="F11" s="403"/>
      <c r="G11" s="19">
        <v>3</v>
      </c>
      <c r="H11" s="23"/>
      <c r="I11" s="77"/>
      <c r="J11" s="77"/>
    </row>
    <row r="12" spans="1:10" s="2" customFormat="1" ht="13.5" customHeight="1">
      <c r="A12" s="403" t="s">
        <v>2529</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2524</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2525</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2426</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2428</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1.25"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2595</v>
      </c>
      <c r="Q2" s="470"/>
      <c r="R2" s="470"/>
      <c r="S2" s="470"/>
      <c r="T2" s="470"/>
      <c r="U2" s="470"/>
      <c r="V2" s="470"/>
      <c r="W2" s="471"/>
      <c r="X2" s="388" t="s">
        <v>2595</v>
      </c>
      <c r="AA2" s="3">
        <f>IF(OR(MAX(H10:X32)&lt;&gt;0,MIN(H10:X32)&lt;&gt;0),1,0)</f>
        <v>0</v>
      </c>
      <c r="AB2" s="3" t="s">
        <v>2597</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37620818018; AGM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2893</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2598</v>
      </c>
      <c r="X6" s="485" t="s">
        <v>781</v>
      </c>
      <c r="AA6" s="3">
        <f>IF(OR(MAX(W38:W60)&lt;&gt;0,MIN(W38:W60)&lt;&gt;0),1,0)</f>
        <v>0</v>
      </c>
      <c r="AB6" s="16" t="s">
        <v>404</v>
      </c>
    </row>
    <row r="7" spans="1:28" s="3" customFormat="1" ht="51"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1</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2561</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2557</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2558</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2562</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2559</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2243</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2560</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Sandra</cp:lastModifiedBy>
  <cp:lastPrinted>2017-01-04T10:24:58Z</cp:lastPrinted>
  <dcterms:created xsi:type="dcterms:W3CDTF">2008-10-17T11:51:54Z</dcterms:created>
  <dcterms:modified xsi:type="dcterms:W3CDTF">2020-05-23T13:28:25Z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